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6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Area" localSheetId="1">' Račun prihoda i rashoda'!$A$1:$I$63</definedName>
    <definedName name="_xlnm.Print_Area" localSheetId="4">'POSEBNI DIO'!$A$1:$I$151</definedName>
    <definedName name="_xlnm.Print_Area" localSheetId="0">SAŽETAK!$A$1:$J$38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3"/>
  <c r="E23" i="3"/>
  <c r="E21" i="3"/>
  <c r="E16" i="3"/>
  <c r="E14" i="3"/>
  <c r="E11" i="3" s="1"/>
  <c r="E13" i="3"/>
  <c r="E58" i="3"/>
  <c r="E55" i="3"/>
  <c r="E52" i="3"/>
  <c r="E49" i="3"/>
  <c r="E48" i="3"/>
  <c r="E45" i="3"/>
  <c r="E44" i="3"/>
  <c r="E42" i="3"/>
  <c r="E40" i="3"/>
  <c r="E39" i="3"/>
  <c r="E38" i="3"/>
  <c r="E54" i="3"/>
  <c r="E50" i="3"/>
  <c r="F36" i="3"/>
  <c r="F56" i="3"/>
  <c r="F55" i="3"/>
  <c r="F52" i="3"/>
  <c r="F49" i="3"/>
  <c r="F48" i="3"/>
  <c r="F47" i="3"/>
  <c r="F46" i="3"/>
  <c r="F45" i="3"/>
  <c r="F44" i="3"/>
  <c r="F43" i="3"/>
  <c r="F42" i="3"/>
  <c r="F40" i="3"/>
  <c r="F38" i="3"/>
  <c r="E22" i="3"/>
  <c r="E142" i="7"/>
  <c r="E140" i="7" s="1"/>
  <c r="E131" i="7"/>
  <c r="E127" i="7" s="1"/>
  <c r="E124" i="7" s="1"/>
  <c r="E130" i="7"/>
  <c r="E129" i="7"/>
  <c r="E128" i="7"/>
  <c r="E119" i="7"/>
  <c r="E115" i="7"/>
  <c r="E111" i="7"/>
  <c r="E91" i="7"/>
  <c r="E89" i="7"/>
  <c r="E88" i="7"/>
  <c r="E87" i="7"/>
  <c r="E80" i="7"/>
  <c r="E78" i="7"/>
  <c r="E64" i="7"/>
  <c r="E63" i="7"/>
  <c r="E60" i="7"/>
  <c r="E58" i="7"/>
  <c r="E56" i="7"/>
  <c r="E54" i="7"/>
  <c r="E53" i="7"/>
  <c r="E52" i="7"/>
  <c r="E51" i="7"/>
  <c r="E50" i="7"/>
  <c r="E48" i="7"/>
  <c r="E47" i="7"/>
  <c r="E46" i="7"/>
  <c r="E45" i="7"/>
  <c r="E44" i="7"/>
  <c r="E43" i="7"/>
  <c r="E42" i="7"/>
  <c r="E40" i="7"/>
  <c r="E39" i="7"/>
  <c r="E38" i="7"/>
  <c r="E37" i="7"/>
  <c r="E24" i="7"/>
  <c r="E22" i="7"/>
  <c r="E19" i="7"/>
  <c r="E18" i="7"/>
  <c r="E17" i="7"/>
  <c r="E14" i="7"/>
  <c r="E13" i="7"/>
  <c r="E12" i="7"/>
  <c r="E116" i="7"/>
  <c r="E76" i="7"/>
  <c r="E16" i="7"/>
  <c r="E11" i="7"/>
  <c r="E138" i="7"/>
  <c r="E137" i="7" s="1"/>
  <c r="E112" i="7"/>
  <c r="E114" i="7"/>
  <c r="G123" i="7"/>
  <c r="E110" i="7"/>
  <c r="E108" i="7" s="1"/>
  <c r="E41" i="3" l="1"/>
  <c r="E37" i="3"/>
  <c r="E36" i="3"/>
  <c r="E9" i="7"/>
  <c r="E90" i="7"/>
  <c r="E86" i="7"/>
  <c r="E84" i="7" s="1"/>
  <c r="E62" i="7"/>
  <c r="E61" i="7" s="1"/>
  <c r="E36" i="7"/>
  <c r="E59" i="7"/>
  <c r="E35" i="7" l="1"/>
  <c r="E8" i="7" s="1"/>
  <c r="E7" i="7"/>
  <c r="E6" i="7" s="1"/>
  <c r="I54" i="3"/>
  <c r="I50" i="3"/>
  <c r="I41" i="3"/>
  <c r="I37" i="3"/>
  <c r="I36" i="3" s="1"/>
  <c r="I58" i="3" s="1"/>
  <c r="H53" i="3"/>
  <c r="H54" i="3"/>
  <c r="H37" i="3"/>
  <c r="H41" i="3"/>
  <c r="H50" i="3"/>
  <c r="I22" i="3"/>
  <c r="H22" i="3"/>
  <c r="I17" i="3"/>
  <c r="H17" i="3"/>
  <c r="I11" i="3"/>
  <c r="I10" i="3" s="1"/>
  <c r="H11" i="3"/>
  <c r="G17" i="3"/>
  <c r="G22" i="3"/>
  <c r="G11" i="3"/>
  <c r="G10" i="3" s="1"/>
  <c r="F142" i="7"/>
  <c r="F82" i="7"/>
  <c r="F44" i="7"/>
  <c r="F40" i="7"/>
  <c r="F145" i="7"/>
  <c r="F130" i="7"/>
  <c r="F129" i="7"/>
  <c r="F128" i="7"/>
  <c r="F127" i="7"/>
  <c r="F119" i="7"/>
  <c r="F118" i="7" s="1"/>
  <c r="F111" i="7"/>
  <c r="F110" i="7" s="1"/>
  <c r="F99" i="7"/>
  <c r="F97" i="7"/>
  <c r="F96" i="7"/>
  <c r="F95" i="7"/>
  <c r="F91" i="7"/>
  <c r="F89" i="7"/>
  <c r="F88" i="7"/>
  <c r="F87" i="7"/>
  <c r="F75" i="7"/>
  <c r="F74" i="7"/>
  <c r="F73" i="7"/>
  <c r="F72" i="7"/>
  <c r="F69" i="7"/>
  <c r="F68" i="7"/>
  <c r="F67" i="7"/>
  <c r="F64" i="7"/>
  <c r="F63" i="7"/>
  <c r="F60" i="7"/>
  <c r="F58" i="7"/>
  <c r="F57" i="7"/>
  <c r="F56" i="7"/>
  <c r="F55" i="7"/>
  <c r="F54" i="7"/>
  <c r="F53" i="7"/>
  <c r="F52" i="7"/>
  <c r="F51" i="7"/>
  <c r="F50" i="7"/>
  <c r="F48" i="7"/>
  <c r="F47" i="7"/>
  <c r="F46" i="7"/>
  <c r="F45" i="7"/>
  <c r="F43" i="7"/>
  <c r="F42" i="7"/>
  <c r="F41" i="7"/>
  <c r="F39" i="7"/>
  <c r="F38" i="7"/>
  <c r="F37" i="7"/>
  <c r="F34" i="7"/>
  <c r="F33" i="7"/>
  <c r="F32" i="7"/>
  <c r="F31" i="7"/>
  <c r="F26" i="7"/>
  <c r="F24" i="7"/>
  <c r="F23" i="7"/>
  <c r="F21" i="7"/>
  <c r="F20" i="7"/>
  <c r="F19" i="7"/>
  <c r="F18" i="7"/>
  <c r="F17" i="7"/>
  <c r="F14" i="7"/>
  <c r="F13" i="7"/>
  <c r="F12" i="7"/>
  <c r="F23" i="3"/>
  <c r="F22" i="3" s="1"/>
  <c r="F21" i="3"/>
  <c r="F19" i="3"/>
  <c r="F18" i="3"/>
  <c r="F16" i="3"/>
  <c r="F15" i="3"/>
  <c r="F14" i="3"/>
  <c r="F13" i="3"/>
  <c r="F12" i="3"/>
  <c r="H10" i="3" l="1"/>
  <c r="H36" i="3"/>
  <c r="H58" i="3" s="1"/>
  <c r="F17" i="3"/>
  <c r="F11" i="3"/>
  <c r="F10" i="3" s="1"/>
  <c r="G50" i="3"/>
  <c r="G54" i="3"/>
  <c r="G53" i="3" s="1"/>
  <c r="G41" i="3"/>
  <c r="G37" i="3"/>
  <c r="G108" i="7"/>
  <c r="F108" i="7"/>
  <c r="F116" i="7"/>
  <c r="G120" i="7"/>
  <c r="F126" i="7"/>
  <c r="F124" i="7" s="1"/>
  <c r="F54" i="3"/>
  <c r="F53" i="3" s="1"/>
  <c r="F50" i="3"/>
  <c r="F41" i="3"/>
  <c r="F37" i="3"/>
  <c r="F58" i="3" l="1"/>
  <c r="G36" i="3"/>
  <c r="G58" i="3" s="1"/>
  <c r="G106" i="7"/>
  <c r="H137" i="7"/>
  <c r="G98" i="7"/>
  <c r="G138" i="7"/>
  <c r="G140" i="7"/>
  <c r="F140" i="7"/>
  <c r="I76" i="7"/>
  <c r="H76" i="7"/>
  <c r="G81" i="7"/>
  <c r="G77" i="7"/>
  <c r="I35" i="7"/>
  <c r="H35" i="7"/>
  <c r="I9" i="7"/>
  <c r="H9" i="7"/>
  <c r="G59" i="7"/>
  <c r="G55" i="7"/>
  <c r="F76" i="7"/>
  <c r="G149" i="7"/>
  <c r="G147" i="7" s="1"/>
  <c r="G142" i="7"/>
  <c r="F138" i="7"/>
  <c r="G135" i="7"/>
  <c r="G131" i="7"/>
  <c r="G130" i="7"/>
  <c r="G129" i="7"/>
  <c r="G128" i="7"/>
  <c r="G127" i="7"/>
  <c r="G111" i="7"/>
  <c r="G103" i="7"/>
  <c r="G102" i="7" s="1"/>
  <c r="G95" i="7"/>
  <c r="G94" i="7" s="1"/>
  <c r="G92" i="7" s="1"/>
  <c r="G75" i="7"/>
  <c r="G74" i="7"/>
  <c r="G73" i="7"/>
  <c r="G72" i="7"/>
  <c r="G69" i="7"/>
  <c r="G68" i="7"/>
  <c r="G67" i="7"/>
  <c r="G64" i="7"/>
  <c r="G63" i="7"/>
  <c r="G60" i="7"/>
  <c r="G58" i="7"/>
  <c r="G57" i="7"/>
  <c r="G56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16" i="7"/>
  <c r="G126" i="7" l="1"/>
  <c r="G124" i="7" s="1"/>
  <c r="G100" i="7"/>
  <c r="H100" i="7"/>
  <c r="I8" i="7"/>
  <c r="I7" i="7" s="1"/>
  <c r="I6" i="7" s="1"/>
  <c r="H8" i="7"/>
  <c r="G76" i="7"/>
  <c r="G146" i="7"/>
  <c r="G137" i="7" s="1"/>
  <c r="G70" i="7"/>
  <c r="G66" i="7" s="1"/>
  <c r="F70" i="7"/>
  <c r="G65" i="7"/>
  <c r="F65" i="7"/>
  <c r="G29" i="7"/>
  <c r="F29" i="7"/>
  <c r="F30" i="7"/>
  <c r="G30" i="7"/>
  <c r="F36" i="7"/>
  <c r="F84" i="7"/>
  <c r="F100" i="7"/>
  <c r="G132" i="7"/>
  <c r="G36" i="7"/>
  <c r="G35" i="7" s="1"/>
  <c r="G71" i="7"/>
  <c r="G62" i="7"/>
  <c r="G61" i="7" s="1"/>
  <c r="G11" i="7"/>
  <c r="G9" i="7" s="1"/>
  <c r="H7" i="7" l="1"/>
  <c r="H6" i="7" s="1"/>
  <c r="G8" i="7"/>
  <c r="F66" i="7"/>
  <c r="F146" i="7" l="1"/>
  <c r="F143" i="7" s="1"/>
  <c r="F92" i="7"/>
  <c r="F71" i="7"/>
  <c r="F62" i="7"/>
  <c r="F61" i="7" s="1"/>
  <c r="F59" i="7"/>
  <c r="F35" i="7" s="1"/>
  <c r="F11" i="7"/>
  <c r="F16" i="7"/>
  <c r="G6" i="7" l="1"/>
  <c r="F9" i="7"/>
  <c r="F8" i="7" s="1"/>
  <c r="F7" i="7" s="1"/>
  <c r="F137" i="7"/>
  <c r="F6" i="7" l="1"/>
</calcChain>
</file>

<file path=xl/comments1.xml><?xml version="1.0" encoding="utf-8"?>
<comments xmlns="http://schemas.openxmlformats.org/spreadsheetml/2006/main">
  <authors>
    <author>Korisnik</author>
  </authors>
  <commentList>
    <comment ref="E59" author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16" author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20" author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<sst xmlns="http://schemas.openxmlformats.org/spreadsheetml/2006/main" count="323" uniqueCount="170">
  <si>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</si>
  <si>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</si>
  <si>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</si>
  <si>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</si>
  <si>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</si>
  <si>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</si>
  <si>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</si>
  <si>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</si>
  <si>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</si>
  <si>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</si>
  <si>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</si>
  <si>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</si>
  <si>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</si>
  <si>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</si>
  <si>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</si>
  <si>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</si>
  <si>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</si>
  <si>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</si>
  <si>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</si>
  <si>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</si>
  <si>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</si>
  <si>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</si>
  <si>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</si>
  <si>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</si>
  <si>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</si>
  <si>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</si>
  <si>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</si>
  <si>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</si>
  <si>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</si>
  <si>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</si>
  <si>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</si>
  <si>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</si>
  <si>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</si>
  <si>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</si>
  <si>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</si>
  <si>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</si>
  <si>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</si>
  <si>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</si>
  <si>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</si>
  <si>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</si>
  <si>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</si>
  <si>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</si>
  <si>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</si>
  <si>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</si>
  <si>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</si>
  <si>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</si>
  <si>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</si>
  <si>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</si>
  <si>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</si>
  <si>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</si>
  <si>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</si>
  <si>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</si>
  <si>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</si>
  <si>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</si>
  <si>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</si>
  <si>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</si>
  <si>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</si>
  <si>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</si>
  <si>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</si>
  <si>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</si>
  <si>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</si>
  <si>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Ostale pomoći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</si>
  <si>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</si>
  <si>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</si>
  <si>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</si>
  <si>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</si>
  <si>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</si>
  <si>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Plaće za redovan rad</t>
  </si>
  <si>
    <t>Ostali rashodi za zaposlene</t>
  </si>
  <si>
    <t>Doprinosi za obvezno zdr.osigur.</t>
  </si>
  <si>
    <t>Naknade za prijevoz</t>
  </si>
  <si>
    <t>Izvor financiranja 21</t>
  </si>
  <si>
    <t>Doprinosi za obv.osig.u nezapos.</t>
  </si>
  <si>
    <t>Pristojbe i naknade</t>
  </si>
  <si>
    <t>Troškovi sudskih postupaka</t>
  </si>
  <si>
    <t>Ostali nespomenuti rash.poslov.</t>
  </si>
  <si>
    <t>Zatezne kamate</t>
  </si>
  <si>
    <t>Izvor financiranja 22</t>
  </si>
  <si>
    <t>Pomoći iz županijskog proračuna</t>
  </si>
  <si>
    <t>Pomoći iz državnog proračuna</t>
  </si>
  <si>
    <t>Izvor financiranja 24</t>
  </si>
  <si>
    <t>Decentralizirana sredstva za osnovne škole</t>
  </si>
  <si>
    <t>Službena putovanja</t>
  </si>
  <si>
    <t>Stručno usavršavanje radnika</t>
  </si>
  <si>
    <t>Uredski materijali i ostali mat.ras.</t>
  </si>
  <si>
    <t>Energija</t>
  </si>
  <si>
    <t>Materijali i sirovine</t>
  </si>
  <si>
    <t>Sitni inventar</t>
  </si>
  <si>
    <t>Službena,radna i zašt.odjeća</t>
  </si>
  <si>
    <t>Usluge telefona, pošte i prijevoza</t>
  </si>
  <si>
    <t>Usluge tekućeg i inv.održavanja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</si>
  <si>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</si>
  <si>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</si>
  <si>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</si>
  <si>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</si>
  <si>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</si>
  <si>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</si>
  <si>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</si>
  <si>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</si>
  <si>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Izvor financiranja 445</t>
  </si>
  <si>
    <t>Izvor financiranja 71</t>
  </si>
  <si>
    <t>Izvor financiranja 26</t>
  </si>
  <si>
    <t>Sredstva Europske unije</t>
  </si>
  <si>
    <t>Doprinosi za obv.zdrav.osig.</t>
  </si>
  <si>
    <t>Tekući projekt pom. u nastavi 3</t>
  </si>
  <si>
    <t>Tekući projekt pom. u nastavi 4</t>
  </si>
  <si>
    <t>Tekući projekt pom. u nastavi 5</t>
  </si>
  <si>
    <t xml:space="preserve"> A15100116</t>
  </si>
  <si>
    <t xml:space="preserve"> A Projekt</t>
  </si>
  <si>
    <t xml:space="preserve"> A Projekt 15100112</t>
  </si>
  <si>
    <t>Projekt "Školska Shema"</t>
  </si>
  <si>
    <t>Projekt Prehrana 6</t>
  </si>
  <si>
    <t>KAPITALNA ULAGANJA U ŠKOLE</t>
  </si>
  <si>
    <t>Knjige</t>
  </si>
  <si>
    <t>Uredska oprema i namještaj</t>
  </si>
  <si>
    <t>Materijal i sirovine</t>
  </si>
  <si>
    <t>Sitni inventar i auto gume</t>
  </si>
  <si>
    <t>Ostale naknade troškova zaposlenima</t>
  </si>
  <si>
    <t>Materijal i dijelovi za održ</t>
  </si>
  <si>
    <t>Financijski rashodi</t>
  </si>
  <si>
    <t xml:space="preserve">Ostale usluge </t>
  </si>
  <si>
    <t>Izvor financiranja 31</t>
  </si>
  <si>
    <t>Donacije</t>
  </si>
  <si>
    <t>Izvor financiranja 23</t>
  </si>
  <si>
    <t xml:space="preserve"> A15100114</t>
  </si>
  <si>
    <t>Kapitalni projekt 15100203</t>
  </si>
  <si>
    <t>Projekt Rastem</t>
  </si>
  <si>
    <t>Projekt Prehrana 7</t>
  </si>
  <si>
    <t>Tekući projekt 15100111</t>
  </si>
  <si>
    <t>Erasmus +</t>
  </si>
  <si>
    <t>Usluge najma</t>
  </si>
  <si>
    <t>Projekt RaSTEM</t>
  </si>
  <si>
    <t xml:space="preserve">Ostali prihodi za posebne namjene- učeničke marende </t>
  </si>
  <si>
    <t>Redovna djelatnost osnovnog školstva</t>
  </si>
  <si>
    <t>Aktivnost 15100101</t>
  </si>
  <si>
    <t>REDOVNA DJELATNOST OSNOVNOG ŠKOLSTVA</t>
  </si>
  <si>
    <t>OŠ BRODARICA</t>
  </si>
  <si>
    <t>Naknade troškova osobama izvan r.o.</t>
  </si>
  <si>
    <t>Tekuće pomoći iz državnog proračuna temeljem prijenosa EU sredstava</t>
  </si>
  <si>
    <t>Tekuće pomoći proračunskim korisnicima iz proračuna koji im nije nadležan</t>
  </si>
  <si>
    <t>Tekuće pomoći od izvanproračunskih korisnika</t>
  </si>
  <si>
    <t>Tekući prijenosi između proračunskih korisnika istog proračuna temeljem prijenosa EU sredstava</t>
  </si>
  <si>
    <t>Tekuće donacije</t>
  </si>
  <si>
    <t>Prihodi od prodaje,prihodi od donacije</t>
  </si>
  <si>
    <t>Prihodi od pruženih usluga</t>
  </si>
  <si>
    <t>Prihodi po posebnim propisima</t>
  </si>
  <si>
    <t>Ostali nespomenuti prihodi po posebnim propisima</t>
  </si>
  <si>
    <t>Prihodi iz nadležnog proračuna za financiranje rashoda</t>
  </si>
  <si>
    <t>1.207.457 €/9.097.585</t>
  </si>
  <si>
    <t>1.012.675 €/7.630.000 kn</t>
  </si>
  <si>
    <t>985.467 €/7.425.000 kn</t>
  </si>
  <si>
    <t xml:space="preserve"> 27.208 €/205.000 kn</t>
  </si>
  <si>
    <t>68.459 €/ 515.804 kn</t>
  </si>
  <si>
    <t>22.000 €/165.759</t>
  </si>
  <si>
    <t>1.184.813 €/8.926.974</t>
  </si>
  <si>
    <t>1.234.203 €/9.299.103</t>
  </si>
  <si>
    <t>1.212.203 €/9.133.343</t>
  </si>
  <si>
    <t xml:space="preserve">PROGRAM </t>
  </si>
  <si>
    <t>Naknada za prijevoz</t>
  </si>
  <si>
    <t>Projekt Prehrana</t>
  </si>
  <si>
    <t xml:space="preserve"> A Projekt 15100110</t>
  </si>
  <si>
    <t>1.226.353 €/9.239.957 kn</t>
  </si>
  <si>
    <t>1.157.894 €/8.724.153 kn</t>
  </si>
  <si>
    <t>22.644 €/170.612 kn</t>
  </si>
  <si>
    <t xml:space="preserve"> A Projekt 15100115</t>
  </si>
  <si>
    <t xml:space="preserve"> A Projekt 1510011..</t>
  </si>
  <si>
    <t>927.550€/6.988.248 kn</t>
  </si>
  <si>
    <t>902.555 €/6.800.301 kn</t>
  </si>
  <si>
    <t>18.989 €/143.073 kn</t>
  </si>
  <si>
    <t>921.544 €/6.943.374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</si>
</sst>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>
      <alignment horizontal="right" indent="2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 indent="2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3" fontId="1" fillId="0" borderId="0" xfId="0" applyNumberFormat="1" applyFont="1"/>
    <xf numFmtId="3" fontId="6" fillId="2" borderId="3" xfId="0" applyNumberFormat="1" applyFont="1" applyFill="1" applyBorder="1" applyAlignment="1" applyProtection="1">
      <alignment horizontal="right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20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3" fillId="2" borderId="2" xfId="0" applyNumberFormat="1" applyFont="1" applyFill="1" applyBorder="1" applyAlignment="1" applyProtection="1">
      <alignment horizontal="left" wrapText="1"/>
    </xf>
    <xf numFmtId="0" fontId="3" fillId="2" borderId="4" xfId="0" applyNumberFormat="1" applyFont="1" applyFill="1" applyBorder="1" applyAlignment="1" applyProtection="1">
      <alignment horizontal="left" wrapText="1"/>
    </xf>
    <xf numFmtId="3" fontId="9" fillId="2" borderId="3" xfId="0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/>
    <xf numFmtId="3" fontId="3" fillId="2" borderId="4" xfId="0" applyNumberFormat="1" applyFont="1" applyFill="1" applyBorder="1" applyAlignment="1"/>
    <xf numFmtId="3" fontId="6" fillId="2" borderId="4" xfId="0" applyNumberFormat="1" applyFont="1" applyFill="1" applyBorder="1" applyAlignment="1"/>
    <xf numFmtId="3" fontId="11" fillId="2" borderId="3" xfId="0" applyNumberFormat="1" applyFont="1" applyFill="1" applyBorder="1" applyAlignment="1"/>
    <xf numFmtId="3" fontId="0" fillId="0" borderId="0" xfId="0" applyNumberFormat="1"/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shrinkToFit="1"/>
    </xf>
    <xf numFmtId="0" fontId="6" fillId="2" borderId="2" xfId="0" applyNumberFormat="1" applyFont="1" applyFill="1" applyBorder="1" applyAlignment="1" applyProtection="1">
      <alignment horizontal="left" vertical="center" shrinkToFit="1"/>
    </xf>
    <xf numFmtId="0" fontId="6" fillId="2" borderId="4" xfId="0" applyNumberFormat="1" applyFont="1" applyFill="1" applyBorder="1" applyAlignment="1" applyProtection="1">
      <alignment horizontal="left" vertical="center" shrinkToFi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3" fillId="2" borderId="2" xfId="0" applyNumberFormat="1" applyFont="1" applyFill="1" applyBorder="1" applyAlignment="1" applyProtection="1">
      <alignment horizontal="left" wrapText="1"/>
    </xf>
    <xf numFmtId="0" fontId="3" fillId="2" borderId="4" xfId="0" applyNumberFormat="1" applyFont="1" applyFill="1" applyBorder="1" applyAlignment="1" applyProtection="1">
      <alignment horizontal="left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wrapText="1"/>
    </xf>
    <xf numFmtId="0" fontId="6" fillId="2" borderId="2" xfId="0" applyNumberFormat="1" applyFont="1" applyFill="1" applyBorder="1" applyAlignment="1" applyProtection="1">
      <alignment horizontal="left" wrapText="1"/>
    </xf>
    <xf numFmtId="0" fontId="6" fillId="2" borderId="4" xfId="0" applyNumberFormat="1" applyFont="1" applyFill="1" applyBorder="1" applyAlignment="1" applyProtection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3" workbookViewId="0">
      <selection activeCell="G14" sqref="G1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38" t="s">
        <v>62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38" t="s">
        <v>38</v>
      </c>
      <c r="B3" s="138"/>
      <c r="C3" s="138"/>
      <c r="D3" s="138"/>
      <c r="E3" s="138"/>
      <c r="F3" s="138"/>
      <c r="G3" s="138"/>
      <c r="H3" s="138"/>
      <c r="I3" s="155"/>
      <c r="J3" s="155"/>
    </row>
    <row r="4" spans="1:10" ht="17.45" x14ac:dyDescent="0.3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38" t="s">
        <v>48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7.45" x14ac:dyDescent="0.3">
      <c r="A6" s="1"/>
      <c r="B6" s="2"/>
      <c r="C6" s="2"/>
      <c r="D6" s="2"/>
      <c r="E6" s="7"/>
      <c r="F6" s="8"/>
      <c r="G6" s="8"/>
      <c r="H6" s="8"/>
      <c r="I6" s="8"/>
      <c r="J6" s="46" t="s">
        <v>53</v>
      </c>
    </row>
    <row r="7" spans="1:10" ht="25.5" x14ac:dyDescent="0.25">
      <c r="A7" s="34"/>
      <c r="B7" s="35"/>
      <c r="C7" s="35"/>
      <c r="D7" s="36"/>
      <c r="E7" s="37"/>
      <c r="F7" s="4" t="s">
        <v>50</v>
      </c>
      <c r="G7" s="4" t="s">
        <v>51</v>
      </c>
      <c r="H7" s="4" t="s">
        <v>56</v>
      </c>
      <c r="I7" s="4" t="s">
        <v>57</v>
      </c>
      <c r="J7" s="4" t="s">
        <v>58</v>
      </c>
    </row>
    <row r="8" spans="1:10" x14ac:dyDescent="0.25">
      <c r="A8" s="156" t="s">
        <v>0</v>
      </c>
      <c r="B8" s="152"/>
      <c r="C8" s="152"/>
      <c r="D8" s="152"/>
      <c r="E8" s="157"/>
      <c r="F8" s="38" t="str">
        <f>F9</f>
        <v>927.550€/6.988.248 kn</v>
      </c>
      <c r="G8" s="39" t="s">
        <v>149</v>
      </c>
      <c r="H8" s="39" t="s">
        <v>161</v>
      </c>
      <c r="I8" s="39" t="s">
        <v>148</v>
      </c>
      <c r="J8" s="39" t="s">
        <v>155</v>
      </c>
    </row>
    <row r="9" spans="1:10" x14ac:dyDescent="0.25">
      <c r="A9" s="148" t="s">
        <v>1</v>
      </c>
      <c r="B9" s="141"/>
      <c r="C9" s="141"/>
      <c r="D9" s="141"/>
      <c r="E9" s="154"/>
      <c r="F9" s="39" t="s">
        <v>166</v>
      </c>
      <c r="G9" s="39" t="s">
        <v>149</v>
      </c>
      <c r="H9" s="39" t="s">
        <v>161</v>
      </c>
      <c r="I9" s="39" t="s">
        <v>148</v>
      </c>
      <c r="J9" s="39" t="s">
        <v>155</v>
      </c>
    </row>
    <row r="10" spans="1:10" ht="14.45" x14ac:dyDescent="0.3">
      <c r="A10" s="158" t="s">
        <v>2</v>
      </c>
      <c r="B10" s="154"/>
      <c r="C10" s="154"/>
      <c r="D10" s="154"/>
      <c r="E10" s="154"/>
      <c r="F10" s="39"/>
      <c r="G10" s="39"/>
      <c r="H10" s="39"/>
      <c r="I10" s="39"/>
      <c r="J10" s="39"/>
    </row>
    <row r="11" spans="1:10" x14ac:dyDescent="0.25">
      <c r="A11" s="47" t="s">
        <v>3</v>
      </c>
      <c r="B11" s="48"/>
      <c r="C11" s="48"/>
      <c r="D11" s="48"/>
      <c r="E11" s="48"/>
      <c r="F11" s="38" t="s">
        <v>169</v>
      </c>
      <c r="G11" s="38" t="s">
        <v>149</v>
      </c>
      <c r="H11" s="38" t="s">
        <v>161</v>
      </c>
      <c r="I11" s="38" t="s">
        <v>148</v>
      </c>
      <c r="J11" s="38" t="s">
        <v>155</v>
      </c>
    </row>
    <row r="12" spans="1:10" x14ac:dyDescent="0.25">
      <c r="A12" s="140" t="s">
        <v>4</v>
      </c>
      <c r="B12" s="141"/>
      <c r="C12" s="141"/>
      <c r="D12" s="141"/>
      <c r="E12" s="141"/>
      <c r="F12" s="39" t="s">
        <v>167</v>
      </c>
      <c r="G12" s="39" t="s">
        <v>150</v>
      </c>
      <c r="H12" s="39" t="s">
        <v>162</v>
      </c>
      <c r="I12" s="39" t="s">
        <v>154</v>
      </c>
      <c r="J12" s="40" t="s">
        <v>156</v>
      </c>
    </row>
    <row r="13" spans="1:10" x14ac:dyDescent="0.25">
      <c r="A13" s="153" t="s">
        <v>5</v>
      </c>
      <c r="B13" s="154"/>
      <c r="C13" s="154"/>
      <c r="D13" s="154"/>
      <c r="E13" s="154"/>
      <c r="F13" s="41" t="s">
        <v>168</v>
      </c>
      <c r="G13" s="41" t="s">
        <v>151</v>
      </c>
      <c r="H13" s="41" t="s">
        <v>152</v>
      </c>
      <c r="I13" s="41" t="s">
        <v>163</v>
      </c>
      <c r="J13" s="40" t="s">
        <v>153</v>
      </c>
    </row>
    <row r="14" spans="1:10" x14ac:dyDescent="0.25">
      <c r="A14" s="151" t="s">
        <v>6</v>
      </c>
      <c r="B14" s="152"/>
      <c r="C14" s="152"/>
      <c r="D14" s="152"/>
      <c r="E14" s="152"/>
      <c r="F14" s="38">
        <v>6006</v>
      </c>
      <c r="G14" s="38">
        <v>0</v>
      </c>
      <c r="H14" s="42">
        <v>0</v>
      </c>
      <c r="I14" s="42">
        <v>0</v>
      </c>
      <c r="J14" s="42">
        <v>0</v>
      </c>
    </row>
    <row r="15" spans="1:10" ht="17.45" x14ac:dyDescent="0.3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38" t="s">
        <v>49</v>
      </c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0" ht="17.45" x14ac:dyDescent="0.3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4"/>
      <c r="B18" s="35"/>
      <c r="C18" s="35"/>
      <c r="D18" s="36"/>
      <c r="E18" s="37"/>
      <c r="F18" s="4" t="s">
        <v>12</v>
      </c>
      <c r="G18" s="4" t="s">
        <v>13</v>
      </c>
      <c r="H18" s="4" t="s">
        <v>56</v>
      </c>
      <c r="I18" s="4" t="s">
        <v>57</v>
      </c>
      <c r="J18" s="4" t="s">
        <v>58</v>
      </c>
    </row>
    <row r="19" spans="1:10" ht="15.75" customHeight="1" x14ac:dyDescent="0.25">
      <c r="A19" s="148" t="s">
        <v>8</v>
      </c>
      <c r="B19" s="149"/>
      <c r="C19" s="149"/>
      <c r="D19" s="149"/>
      <c r="E19" s="150"/>
      <c r="F19" s="41"/>
      <c r="G19" s="41"/>
      <c r="H19" s="41"/>
      <c r="I19" s="41"/>
      <c r="J19" s="41"/>
    </row>
    <row r="20" spans="1:10" ht="14.45" x14ac:dyDescent="0.3">
      <c r="A20" s="148" t="s">
        <v>9</v>
      </c>
      <c r="B20" s="141"/>
      <c r="C20" s="141"/>
      <c r="D20" s="141"/>
      <c r="E20" s="141"/>
      <c r="F20" s="41"/>
      <c r="G20" s="41"/>
      <c r="H20" s="41"/>
      <c r="I20" s="41"/>
      <c r="J20" s="41"/>
    </row>
    <row r="21" spans="1:10" ht="14.45" x14ac:dyDescent="0.3">
      <c r="A21" s="151" t="s">
        <v>10</v>
      </c>
      <c r="B21" s="152"/>
      <c r="C21" s="152"/>
      <c r="D21" s="152"/>
      <c r="E21" s="152"/>
      <c r="F21" s="38">
        <v>0</v>
      </c>
      <c r="G21" s="38">
        <v>0</v>
      </c>
      <c r="H21" s="38">
        <v>0</v>
      </c>
      <c r="I21" s="38">
        <v>0</v>
      </c>
      <c r="J21" s="38">
        <v>0</v>
      </c>
    </row>
    <row r="22" spans="1:10" ht="17.45" x14ac:dyDescent="0.3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138" t="s">
        <v>64</v>
      </c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7.45" x14ac:dyDescent="0.3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4"/>
      <c r="B25" s="35"/>
      <c r="C25" s="35"/>
      <c r="D25" s="36"/>
      <c r="E25" s="37"/>
      <c r="F25" s="4" t="s">
        <v>12</v>
      </c>
      <c r="G25" s="4" t="s">
        <v>13</v>
      </c>
      <c r="H25" s="4" t="s">
        <v>56</v>
      </c>
      <c r="I25" s="4" t="s">
        <v>57</v>
      </c>
      <c r="J25" s="4" t="s">
        <v>58</v>
      </c>
    </row>
    <row r="26" spans="1:10" x14ac:dyDescent="0.25">
      <c r="A26" s="142" t="s">
        <v>52</v>
      </c>
      <c r="B26" s="143"/>
      <c r="C26" s="143"/>
      <c r="D26" s="143"/>
      <c r="E26" s="144"/>
      <c r="F26" s="43"/>
      <c r="G26" s="43"/>
      <c r="H26" s="43"/>
      <c r="I26" s="43"/>
      <c r="J26" s="44"/>
    </row>
    <row r="27" spans="1:10" ht="30" customHeight="1" x14ac:dyDescent="0.25">
      <c r="A27" s="145" t="s">
        <v>7</v>
      </c>
      <c r="B27" s="146"/>
      <c r="C27" s="146"/>
      <c r="D27" s="146"/>
      <c r="E27" s="147"/>
      <c r="F27" s="45"/>
      <c r="G27" s="45"/>
      <c r="H27" s="45"/>
      <c r="I27" s="45"/>
      <c r="J27" s="42"/>
    </row>
    <row r="30" spans="1:10" x14ac:dyDescent="0.25">
      <c r="A30" s="140" t="s">
        <v>11</v>
      </c>
      <c r="B30" s="141"/>
      <c r="C30" s="141"/>
      <c r="D30" s="141"/>
      <c r="E30" s="141"/>
      <c r="F30" s="41">
        <v>0</v>
      </c>
      <c r="G30" s="41">
        <v>0</v>
      </c>
      <c r="H30" s="41">
        <v>0</v>
      </c>
      <c r="I30" s="41">
        <v>0</v>
      </c>
      <c r="J30" s="41">
        <v>0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136" t="s">
        <v>65</v>
      </c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8.25" customHeight="1" x14ac:dyDescent="0.25"/>
    <row r="34" spans="1:10" x14ac:dyDescent="0.25">
      <c r="A34" s="136" t="s">
        <v>54</v>
      </c>
      <c r="B34" s="137"/>
      <c r="C34" s="137"/>
      <c r="D34" s="137"/>
      <c r="E34" s="137"/>
      <c r="F34" s="137"/>
      <c r="G34" s="137"/>
      <c r="H34" s="137"/>
      <c r="I34" s="137"/>
      <c r="J34" s="137"/>
    </row>
    <row r="35" spans="1:10" ht="8.25" customHeight="1" x14ac:dyDescent="0.25"/>
    <row r="36" spans="1:10" ht="29.25" customHeight="1" x14ac:dyDescent="0.25">
      <c r="A36" s="136" t="s">
        <v>55</v>
      </c>
      <c r="B36" s="137"/>
      <c r="C36" s="137"/>
      <c r="D36" s="137"/>
      <c r="E36" s="137"/>
      <c r="F36" s="137"/>
      <c r="G36" s="137"/>
      <c r="H36" s="137"/>
      <c r="I36" s="137"/>
      <c r="J36" s="137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F28" sqref="F28:F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7.28515625" customWidth="1"/>
    <col min="5" max="9" width="25.28515625" customWidth="1"/>
  </cols>
  <sheetData>
    <row r="1" spans="1:9" ht="42" customHeight="1" x14ac:dyDescent="0.25">
      <c r="A1" s="138" t="s">
        <v>62</v>
      </c>
      <c r="B1" s="138"/>
      <c r="C1" s="138"/>
      <c r="D1" s="138"/>
      <c r="E1" s="138"/>
      <c r="F1" s="138"/>
      <c r="G1" s="138"/>
      <c r="H1" s="138"/>
      <c r="I1" s="138"/>
    </row>
    <row r="2" spans="1:9" ht="18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38" t="s">
        <v>38</v>
      </c>
      <c r="B3" s="138"/>
      <c r="C3" s="138"/>
      <c r="D3" s="138"/>
      <c r="E3" s="138"/>
      <c r="F3" s="138"/>
      <c r="G3" s="138"/>
      <c r="H3" s="155"/>
      <c r="I3" s="155"/>
    </row>
    <row r="4" spans="1:9" ht="17.45" x14ac:dyDescent="0.3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38" t="s">
        <v>15</v>
      </c>
      <c r="B5" s="139"/>
      <c r="C5" s="139"/>
      <c r="D5" s="139"/>
      <c r="E5" s="139"/>
      <c r="F5" s="139"/>
      <c r="G5" s="139"/>
      <c r="H5" s="139"/>
      <c r="I5" s="139"/>
    </row>
    <row r="6" spans="1:9" ht="17.45" x14ac:dyDescent="0.3">
      <c r="A6" s="5"/>
      <c r="B6" s="5"/>
      <c r="C6" s="5"/>
      <c r="D6" s="5"/>
      <c r="E6" s="5"/>
      <c r="F6" s="5"/>
      <c r="G6" s="5"/>
      <c r="H6" s="6"/>
      <c r="I6" s="6"/>
    </row>
    <row r="7" spans="1:9" ht="15.6" x14ac:dyDescent="0.3">
      <c r="A7" s="138" t="s">
        <v>1</v>
      </c>
      <c r="B7" s="162"/>
      <c r="C7" s="162"/>
      <c r="D7" s="162"/>
      <c r="E7" s="162"/>
      <c r="F7" s="162"/>
      <c r="G7" s="162"/>
      <c r="H7" s="162"/>
      <c r="I7" s="162"/>
    </row>
    <row r="8" spans="1:9" ht="17.45" x14ac:dyDescent="0.3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56</v>
      </c>
      <c r="H9" s="26" t="s">
        <v>57</v>
      </c>
      <c r="I9" s="26" t="s">
        <v>58</v>
      </c>
    </row>
    <row r="10" spans="1:9" ht="15.75" customHeight="1" x14ac:dyDescent="0.3">
      <c r="A10" s="13">
        <v>6</v>
      </c>
      <c r="B10" s="13"/>
      <c r="C10" s="13"/>
      <c r="D10" s="13" t="s">
        <v>19</v>
      </c>
      <c r="E10" s="92">
        <v>927550</v>
      </c>
      <c r="F10" s="92">
        <f>F11+F17+F22</f>
        <v>1012675.0282035967</v>
      </c>
      <c r="G10" s="92">
        <f>G11+G17+G22</f>
        <v>1226353</v>
      </c>
      <c r="H10" s="92">
        <f>H11+H17+H22</f>
        <v>1207457</v>
      </c>
      <c r="I10" s="92">
        <f>I11+I17+I22</f>
        <v>1234203</v>
      </c>
    </row>
    <row r="11" spans="1:9" ht="38.25" x14ac:dyDescent="0.25">
      <c r="A11" s="13"/>
      <c r="B11" s="13">
        <v>63</v>
      </c>
      <c r="C11" s="18"/>
      <c r="D11" s="13" t="s">
        <v>59</v>
      </c>
      <c r="E11" s="92">
        <f>SUM(E12:E16)</f>
        <v>864956.11653062585</v>
      </c>
      <c r="F11" s="92">
        <f>SUM(F12:F16)</f>
        <v>933704.95719689422</v>
      </c>
      <c r="G11" s="92">
        <f>SUM(G12:G16)</f>
        <v>1132595</v>
      </c>
      <c r="H11" s="92">
        <f>SUM(H12:H16)</f>
        <v>1108960</v>
      </c>
      <c r="I11" s="92">
        <f>SUM(I12:I16)</f>
        <v>1136370</v>
      </c>
    </row>
    <row r="12" spans="1:9" ht="38.25" x14ac:dyDescent="0.25">
      <c r="A12" s="13"/>
      <c r="B12" s="18">
        <v>6381</v>
      </c>
      <c r="C12" s="18">
        <v>26</v>
      </c>
      <c r="D12" s="18" t="s">
        <v>138</v>
      </c>
      <c r="E12" s="10">
        <v>0</v>
      </c>
      <c r="F12" s="11">
        <f>110000/7.5345</f>
        <v>14599.508925608865</v>
      </c>
      <c r="G12" s="11">
        <v>21248</v>
      </c>
      <c r="H12" s="11">
        <v>20000</v>
      </c>
      <c r="I12" s="11">
        <v>20000</v>
      </c>
    </row>
    <row r="13" spans="1:9" ht="38.25" x14ac:dyDescent="0.25">
      <c r="A13" s="13"/>
      <c r="B13" s="18">
        <v>6361</v>
      </c>
      <c r="C13" s="18">
        <v>21</v>
      </c>
      <c r="D13" s="18" t="s">
        <v>139</v>
      </c>
      <c r="E13" s="10">
        <f>6325712.17/7.5345</f>
        <v>839566.28442497842</v>
      </c>
      <c r="F13" s="11">
        <f>6700000/7.5345</f>
        <v>889242.81637799449</v>
      </c>
      <c r="G13" s="11">
        <v>1012138</v>
      </c>
      <c r="H13" s="11">
        <v>1059450</v>
      </c>
      <c r="I13" s="11">
        <v>1097000</v>
      </c>
    </row>
    <row r="14" spans="1:9" ht="25.5" x14ac:dyDescent="0.25">
      <c r="A14" s="13"/>
      <c r="B14" s="18">
        <v>6341</v>
      </c>
      <c r="C14" s="18">
        <v>23</v>
      </c>
      <c r="D14" s="18" t="s">
        <v>140</v>
      </c>
      <c r="E14" s="10">
        <f>99402/7.5345</f>
        <v>13192.912602030658</v>
      </c>
      <c r="F14" s="11">
        <f>15000/7.5345</f>
        <v>1990.8421262193906</v>
      </c>
      <c r="G14" s="11">
        <v>14750</v>
      </c>
      <c r="H14" s="11">
        <v>14750</v>
      </c>
      <c r="I14" s="11">
        <v>14750</v>
      </c>
    </row>
    <row r="15" spans="1:9" ht="38.25" x14ac:dyDescent="0.25">
      <c r="A15" s="13"/>
      <c r="B15" s="18">
        <v>6361</v>
      </c>
      <c r="C15" s="18">
        <v>22</v>
      </c>
      <c r="D15" s="18" t="s">
        <v>139</v>
      </c>
      <c r="E15" s="10"/>
      <c r="F15" s="11">
        <f>10000/7.5345</f>
        <v>1327.2280841462605</v>
      </c>
      <c r="G15" s="11">
        <v>1300</v>
      </c>
      <c r="H15" s="11">
        <v>1300</v>
      </c>
      <c r="I15" s="11">
        <v>1300</v>
      </c>
    </row>
    <row r="16" spans="1:9" ht="51" x14ac:dyDescent="0.25">
      <c r="A16" s="13"/>
      <c r="B16" s="18">
        <v>6393</v>
      </c>
      <c r="C16" s="18">
        <v>26</v>
      </c>
      <c r="D16" s="18" t="s">
        <v>141</v>
      </c>
      <c r="E16" s="10">
        <f>91897.69/7.5345</f>
        <v>12196.919503616697</v>
      </c>
      <c r="F16" s="11">
        <f>200000/7.5345</f>
        <v>26544.56168292521</v>
      </c>
      <c r="G16" s="11">
        <v>83159</v>
      </c>
      <c r="H16" s="11">
        <v>13460</v>
      </c>
      <c r="I16" s="11">
        <v>3320</v>
      </c>
    </row>
    <row r="17" spans="1:9" ht="26.45" x14ac:dyDescent="0.3">
      <c r="A17" s="13"/>
      <c r="B17" s="13">
        <v>66</v>
      </c>
      <c r="C17" s="13"/>
      <c r="D17" s="13" t="s">
        <v>143</v>
      </c>
      <c r="F17" s="92">
        <f>SUM(F18:F21)</f>
        <v>22562.877430486427</v>
      </c>
      <c r="G17" s="92">
        <f>SUM(G18:G21)</f>
        <v>22576</v>
      </c>
      <c r="H17" s="92">
        <f>SUM(H18:H21)</f>
        <v>22700</v>
      </c>
      <c r="I17" s="92">
        <f>SUM(I18:I21)</f>
        <v>22700</v>
      </c>
    </row>
    <row r="18" spans="1:9" x14ac:dyDescent="0.25">
      <c r="A18" s="13"/>
      <c r="B18" s="18">
        <v>6631</v>
      </c>
      <c r="C18" s="18">
        <v>31</v>
      </c>
      <c r="D18" s="18" t="s">
        <v>142</v>
      </c>
      <c r="E18" s="10"/>
      <c r="F18" s="11">
        <f>15000/7.5345</f>
        <v>1990.8421262193906</v>
      </c>
      <c r="G18" s="11">
        <v>1992</v>
      </c>
      <c r="H18" s="11">
        <v>2000</v>
      </c>
      <c r="I18" s="11">
        <v>2000</v>
      </c>
    </row>
    <row r="19" spans="1:9" x14ac:dyDescent="0.25">
      <c r="A19" s="13"/>
      <c r="B19" s="18">
        <v>6615</v>
      </c>
      <c r="C19" s="18">
        <v>71</v>
      </c>
      <c r="D19" s="18" t="s">
        <v>144</v>
      </c>
      <c r="E19" s="10"/>
      <c r="F19" s="11">
        <f>5000/7.5345</f>
        <v>663.61404207313024</v>
      </c>
      <c r="G19" s="120">
        <v>664</v>
      </c>
      <c r="H19" s="11">
        <v>700</v>
      </c>
      <c r="I19" s="11">
        <v>700</v>
      </c>
    </row>
    <row r="20" spans="1:9" ht="14.45" x14ac:dyDescent="0.3">
      <c r="A20" s="14"/>
      <c r="B20" s="33">
        <v>652</v>
      </c>
      <c r="C20" s="15"/>
      <c r="D20" s="33" t="s">
        <v>145</v>
      </c>
      <c r="E20" s="92">
        <f>SUM(E21)</f>
        <v>10639.345676554514</v>
      </c>
      <c r="F20" s="11"/>
      <c r="G20" s="11"/>
      <c r="H20" s="11"/>
      <c r="I20" s="11"/>
    </row>
    <row r="21" spans="1:9" ht="26.45" x14ac:dyDescent="0.3">
      <c r="A21" s="14"/>
      <c r="B21" s="14">
        <v>6526</v>
      </c>
      <c r="C21" s="14">
        <v>445</v>
      </c>
      <c r="D21" s="108" t="s">
        <v>146</v>
      </c>
      <c r="E21" s="10">
        <f>80162.15/7.5345</f>
        <v>10639.345676554514</v>
      </c>
      <c r="F21" s="11">
        <f>150000/7.5345</f>
        <v>19908.421262193908</v>
      </c>
      <c r="G21" s="11">
        <v>19920</v>
      </c>
      <c r="H21" s="11">
        <v>20000</v>
      </c>
      <c r="I21" s="11">
        <v>20000</v>
      </c>
    </row>
    <row r="22" spans="1:9" ht="38.25" x14ac:dyDescent="0.25">
      <c r="A22" s="14"/>
      <c r="B22" s="33">
        <v>67</v>
      </c>
      <c r="C22" s="115"/>
      <c r="D22" s="13" t="s">
        <v>60</v>
      </c>
      <c r="E22" s="92">
        <f>E23</f>
        <v>51954.623399031116</v>
      </c>
      <c r="F22" s="92">
        <f>F23</f>
        <v>56407.193576216072</v>
      </c>
      <c r="G22" s="92">
        <f>G23</f>
        <v>71182</v>
      </c>
      <c r="H22" s="92">
        <f>H23</f>
        <v>75797</v>
      </c>
      <c r="I22" s="92">
        <f>I23</f>
        <v>75133</v>
      </c>
    </row>
    <row r="23" spans="1:9" ht="25.5" x14ac:dyDescent="0.25">
      <c r="A23" s="14"/>
      <c r="B23" s="14">
        <v>6711</v>
      </c>
      <c r="C23" s="15"/>
      <c r="D23" s="18" t="s">
        <v>147</v>
      </c>
      <c r="E23" s="10">
        <f>391452.11/7.5345</f>
        <v>51954.623399031116</v>
      </c>
      <c r="F23" s="11">
        <f>425000/7.5345</f>
        <v>56407.193576216072</v>
      </c>
      <c r="G23" s="11">
        <v>71182</v>
      </c>
      <c r="H23" s="11">
        <v>75797</v>
      </c>
      <c r="I23" s="11">
        <v>75133</v>
      </c>
    </row>
    <row r="24" spans="1:9" x14ac:dyDescent="0.25">
      <c r="A24" s="109"/>
      <c r="B24" s="109"/>
      <c r="C24" s="110"/>
      <c r="D24" s="110"/>
      <c r="E24" s="111"/>
      <c r="F24" s="111"/>
      <c r="G24" s="111"/>
      <c r="H24" s="111"/>
      <c r="I24" s="112"/>
    </row>
    <row r="25" spans="1:9" x14ac:dyDescent="0.25">
      <c r="A25" s="109"/>
      <c r="B25" s="109"/>
      <c r="C25" s="110"/>
      <c r="D25" s="110"/>
      <c r="E25" s="111"/>
      <c r="F25" s="111"/>
      <c r="G25" s="111"/>
      <c r="H25" s="111"/>
      <c r="I25" s="112"/>
    </row>
    <row r="26" spans="1:9" x14ac:dyDescent="0.25">
      <c r="A26" s="109"/>
      <c r="B26" s="109"/>
      <c r="C26" s="110"/>
      <c r="D26" s="110"/>
      <c r="E26" s="111"/>
      <c r="F26" s="111"/>
      <c r="G26" s="111"/>
      <c r="H26" s="111"/>
      <c r="I26" s="112"/>
    </row>
    <row r="27" spans="1:9" x14ac:dyDescent="0.25">
      <c r="A27" s="109"/>
      <c r="B27" s="109"/>
      <c r="C27" s="110"/>
      <c r="D27" s="110"/>
      <c r="E27" s="111"/>
      <c r="F27" s="111"/>
      <c r="G27" s="111"/>
      <c r="H27" s="111"/>
      <c r="I27" s="112"/>
    </row>
    <row r="28" spans="1:9" x14ac:dyDescent="0.25">
      <c r="A28" s="109"/>
      <c r="B28" s="109"/>
      <c r="C28" s="110"/>
      <c r="D28" s="110"/>
      <c r="E28" s="111"/>
      <c r="F28" s="111"/>
      <c r="G28" s="111"/>
      <c r="H28" s="111"/>
      <c r="I28" s="112"/>
    </row>
    <row r="29" spans="1:9" x14ac:dyDescent="0.25">
      <c r="A29" s="109"/>
      <c r="B29" s="109"/>
      <c r="C29" s="110"/>
      <c r="D29" s="110"/>
      <c r="E29" s="111"/>
      <c r="F29" s="111"/>
      <c r="G29" s="111"/>
      <c r="H29" s="111"/>
      <c r="I29" s="112"/>
    </row>
    <row r="30" spans="1:9" x14ac:dyDescent="0.25">
      <c r="A30" s="109"/>
      <c r="B30" s="109"/>
      <c r="C30" s="110"/>
      <c r="D30" s="110"/>
      <c r="E30" s="111"/>
      <c r="F30" s="111"/>
      <c r="G30" s="111"/>
      <c r="H30" s="111"/>
      <c r="I30" s="112"/>
    </row>
    <row r="31" spans="1:9" x14ac:dyDescent="0.25">
      <c r="A31" s="109"/>
      <c r="B31" s="109"/>
      <c r="C31" s="110"/>
      <c r="D31" s="110"/>
      <c r="E31" s="111"/>
      <c r="F31" s="111"/>
      <c r="G31" s="111"/>
      <c r="H31" s="111"/>
      <c r="I31" s="112"/>
    </row>
    <row r="33" spans="1:9" ht="15.75" x14ac:dyDescent="0.25">
      <c r="A33" s="138" t="s">
        <v>21</v>
      </c>
      <c r="B33" s="162"/>
      <c r="C33" s="162"/>
      <c r="D33" s="162"/>
      <c r="E33" s="162"/>
      <c r="F33" s="162"/>
      <c r="G33" s="162"/>
      <c r="H33" s="162"/>
      <c r="I33" s="162"/>
    </row>
    <row r="34" spans="1:9" ht="18" x14ac:dyDescent="0.25">
      <c r="A34" s="5"/>
      <c r="B34" s="5"/>
      <c r="C34" s="5"/>
      <c r="D34" s="5"/>
      <c r="E34" s="5"/>
      <c r="F34" s="5"/>
      <c r="G34" s="5"/>
      <c r="H34" s="6"/>
      <c r="I34" s="6"/>
    </row>
    <row r="35" spans="1:9" ht="25.5" x14ac:dyDescent="0.25">
      <c r="A35" s="26" t="s">
        <v>16</v>
      </c>
      <c r="B35" s="25" t="s">
        <v>17</v>
      </c>
      <c r="C35" s="25" t="s">
        <v>18</v>
      </c>
      <c r="D35" s="25" t="s">
        <v>22</v>
      </c>
      <c r="E35" s="25" t="s">
        <v>12</v>
      </c>
      <c r="F35" s="26" t="s">
        <v>13</v>
      </c>
      <c r="G35" s="26" t="s">
        <v>56</v>
      </c>
      <c r="H35" s="26" t="s">
        <v>57</v>
      </c>
      <c r="I35" s="26" t="s">
        <v>58</v>
      </c>
    </row>
    <row r="36" spans="1:9" ht="15.75" customHeight="1" x14ac:dyDescent="0.25">
      <c r="A36" s="13">
        <v>3</v>
      </c>
      <c r="B36" s="13"/>
      <c r="C36" s="13"/>
      <c r="D36" s="13" t="s">
        <v>23</v>
      </c>
      <c r="E36" s="92">
        <f>E37+E41+E50</f>
        <v>902554.67914261064</v>
      </c>
      <c r="F36" s="92">
        <f>F37+F41+F50</f>
        <v>985466.85247859824</v>
      </c>
      <c r="G36" s="92">
        <f>G37+G41+G50</f>
        <v>1157894</v>
      </c>
      <c r="H36" s="92">
        <f>H37+H41+H50</f>
        <v>1183793</v>
      </c>
      <c r="I36" s="92">
        <f>I37+I41+I50</f>
        <v>1211203</v>
      </c>
    </row>
    <row r="37" spans="1:9" ht="15.75" customHeight="1" x14ac:dyDescent="0.25">
      <c r="A37" s="13"/>
      <c r="B37" s="13">
        <v>31</v>
      </c>
      <c r="C37" s="13"/>
      <c r="D37" s="13" t="s">
        <v>24</v>
      </c>
      <c r="E37" s="92">
        <f>SUM(E38:E40)</f>
        <v>800742.13550998736</v>
      </c>
      <c r="F37" s="92">
        <f>SUM(F38:F40)</f>
        <v>839339.04041409504</v>
      </c>
      <c r="G37" s="92">
        <f>SUM(G38:G40)</f>
        <v>972364</v>
      </c>
      <c r="H37" s="92">
        <f>SUM(H38:H40)</f>
        <v>1009040</v>
      </c>
      <c r="I37" s="92">
        <f>SUM(I38:I40)</f>
        <v>1033250</v>
      </c>
    </row>
    <row r="38" spans="1:9" ht="15.75" customHeight="1" x14ac:dyDescent="0.25">
      <c r="A38" s="13"/>
      <c r="B38" s="18"/>
      <c r="C38" s="18">
        <v>21</v>
      </c>
      <c r="D38" s="18"/>
      <c r="E38" s="10">
        <f>5983409.5/7.5345</f>
        <v>794134.91273475345</v>
      </c>
      <c r="F38" s="11">
        <f>6220000/7.5345</f>
        <v>825535.86833897396</v>
      </c>
      <c r="G38" s="11">
        <v>936450</v>
      </c>
      <c r="H38" s="11">
        <v>986450</v>
      </c>
      <c r="I38" s="11">
        <v>1020000</v>
      </c>
    </row>
    <row r="39" spans="1:9" ht="15.75" customHeight="1" x14ac:dyDescent="0.25">
      <c r="A39" s="13"/>
      <c r="B39" s="18"/>
      <c r="C39" s="18">
        <v>23</v>
      </c>
      <c r="D39" s="18"/>
      <c r="E39" s="10">
        <f>13941/7.5345</f>
        <v>1850.2886721083016</v>
      </c>
      <c r="F39" s="11">
        <v>0</v>
      </c>
      <c r="G39" s="11">
        <v>13250</v>
      </c>
      <c r="H39" s="11">
        <v>13250</v>
      </c>
      <c r="I39" s="11">
        <v>13250</v>
      </c>
    </row>
    <row r="40" spans="1:9" x14ac:dyDescent="0.25">
      <c r="A40" s="14"/>
      <c r="B40" s="14"/>
      <c r="C40" s="15">
        <v>26</v>
      </c>
      <c r="D40" s="15"/>
      <c r="E40" s="10">
        <f>35841.12/7.5345</f>
        <v>4756.9341031256226</v>
      </c>
      <c r="F40" s="11">
        <f>104000/7.5345</f>
        <v>13803.172075121109</v>
      </c>
      <c r="G40" s="11">
        <v>22664</v>
      </c>
      <c r="H40" s="11">
        <v>9340</v>
      </c>
      <c r="I40" s="11"/>
    </row>
    <row r="41" spans="1:9" x14ac:dyDescent="0.25">
      <c r="A41" s="14"/>
      <c r="B41" s="33">
        <v>32</v>
      </c>
      <c r="C41" s="115"/>
      <c r="D41" s="33" t="s">
        <v>41</v>
      </c>
      <c r="E41" s="92">
        <f>SUM(E42:E49)</f>
        <v>101698.39405401816</v>
      </c>
      <c r="F41" s="92">
        <f>SUM(F42:F49)</f>
        <v>145995.08925608866</v>
      </c>
      <c r="G41" s="92">
        <f>SUM(G42:G49)</f>
        <v>178397</v>
      </c>
      <c r="H41" s="92">
        <f>SUM(H42:H49)</f>
        <v>174620</v>
      </c>
      <c r="I41" s="92">
        <f>SUM(I42:I49)</f>
        <v>177820</v>
      </c>
    </row>
    <row r="42" spans="1:9" x14ac:dyDescent="0.25">
      <c r="A42" s="14"/>
      <c r="B42" s="14"/>
      <c r="C42" s="15">
        <v>21</v>
      </c>
      <c r="D42" s="14"/>
      <c r="E42" s="10">
        <f>178898.82/7.5345</f>
        <v>23743.953812462671</v>
      </c>
      <c r="F42" s="11">
        <f>280000/7.5345</f>
        <v>37162.386356095296</v>
      </c>
      <c r="G42" s="11">
        <v>47440</v>
      </c>
      <c r="H42" s="11">
        <v>50000</v>
      </c>
      <c r="I42" s="11">
        <v>54000</v>
      </c>
    </row>
    <row r="43" spans="1:9" x14ac:dyDescent="0.25">
      <c r="A43" s="14"/>
      <c r="B43" s="14"/>
      <c r="C43" s="15">
        <v>22</v>
      </c>
      <c r="D43" s="14"/>
      <c r="E43" s="10"/>
      <c r="F43" s="11">
        <f>10000/7.5345</f>
        <v>1327.2280841462605</v>
      </c>
      <c r="G43" s="11">
        <v>1300</v>
      </c>
      <c r="H43" s="11">
        <v>1300</v>
      </c>
      <c r="I43" s="11">
        <v>1300</v>
      </c>
    </row>
    <row r="44" spans="1:9" x14ac:dyDescent="0.25">
      <c r="A44" s="14"/>
      <c r="B44" s="14"/>
      <c r="C44" s="15">
        <v>24</v>
      </c>
      <c r="D44" s="14"/>
      <c r="E44" s="10">
        <f>390592.35/7.5345</f>
        <v>51840.513637268559</v>
      </c>
      <c r="F44" s="11">
        <f>419000/7.5345</f>
        <v>55610.856725728314</v>
      </c>
      <c r="G44" s="11">
        <v>71049</v>
      </c>
      <c r="H44" s="11">
        <v>75000</v>
      </c>
      <c r="I44" s="11">
        <v>75000</v>
      </c>
    </row>
    <row r="45" spans="1:9" x14ac:dyDescent="0.25">
      <c r="A45" s="14"/>
      <c r="B45" s="14"/>
      <c r="C45" s="15">
        <v>23</v>
      </c>
      <c r="D45" s="14"/>
      <c r="E45" s="10">
        <f>2626/7.5345</f>
        <v>348.53009489680801</v>
      </c>
      <c r="F45" s="11">
        <f>15000/7.5345</f>
        <v>1990.8421262193906</v>
      </c>
      <c r="G45" s="11">
        <v>1500</v>
      </c>
      <c r="H45" s="11">
        <v>1500</v>
      </c>
      <c r="I45" s="11">
        <v>1500</v>
      </c>
    </row>
    <row r="46" spans="1:9" x14ac:dyDescent="0.25">
      <c r="A46" s="14"/>
      <c r="B46" s="14"/>
      <c r="C46" s="15">
        <v>31</v>
      </c>
      <c r="D46" s="15"/>
      <c r="E46" s="10"/>
      <c r="F46" s="11">
        <f>15000/7.5345</f>
        <v>1990.8421262193906</v>
      </c>
      <c r="G46" s="11">
        <v>1992</v>
      </c>
      <c r="H46" s="11">
        <v>2000</v>
      </c>
      <c r="I46" s="11">
        <v>2000</v>
      </c>
    </row>
    <row r="47" spans="1:9" x14ac:dyDescent="0.25">
      <c r="A47" s="14"/>
      <c r="B47" s="14"/>
      <c r="C47" s="15">
        <v>71</v>
      </c>
      <c r="D47" s="15"/>
      <c r="E47" s="10"/>
      <c r="F47" s="11">
        <f>5000/7.5345</f>
        <v>663.61404207313024</v>
      </c>
      <c r="G47" s="11">
        <v>664</v>
      </c>
      <c r="H47" s="11">
        <v>700</v>
      </c>
      <c r="I47" s="11">
        <v>700</v>
      </c>
    </row>
    <row r="48" spans="1:9" x14ac:dyDescent="0.25">
      <c r="A48" s="14"/>
      <c r="B48" s="14"/>
      <c r="C48" s="15">
        <v>445</v>
      </c>
      <c r="D48" s="15"/>
      <c r="E48" s="10">
        <f>92015.75/7.5345</f>
        <v>12212.588758378126</v>
      </c>
      <c r="F48" s="11">
        <f>150000/7.5345</f>
        <v>19908.421262193908</v>
      </c>
      <c r="G48" s="11">
        <v>19920</v>
      </c>
      <c r="H48" s="11">
        <v>20000</v>
      </c>
      <c r="I48" s="11">
        <v>20000</v>
      </c>
    </row>
    <row r="49" spans="1:9" x14ac:dyDescent="0.25">
      <c r="A49" s="14"/>
      <c r="B49" s="14"/>
      <c r="C49" s="15">
        <v>26</v>
      </c>
      <c r="D49" s="15"/>
      <c r="E49" s="10">
        <f>102113.63/7.5345</f>
        <v>13552.807751012011</v>
      </c>
      <c r="F49" s="11">
        <f>206000/7.5345</f>
        <v>27340.898533412965</v>
      </c>
      <c r="G49" s="11">
        <v>34532</v>
      </c>
      <c r="H49" s="11">
        <v>24120</v>
      </c>
      <c r="I49" s="11">
        <v>23320</v>
      </c>
    </row>
    <row r="50" spans="1:9" x14ac:dyDescent="0.25">
      <c r="A50" s="14"/>
      <c r="B50" s="33">
        <v>34</v>
      </c>
      <c r="C50" s="115"/>
      <c r="D50" s="115"/>
      <c r="E50" s="92">
        <f>SUM(E52)</f>
        <v>114.14957860508326</v>
      </c>
      <c r="F50" s="92">
        <f>SUM(F52)</f>
        <v>132.72280841462606</v>
      </c>
      <c r="G50" s="92">
        <f>SUM(G51:G52)</f>
        <v>7133</v>
      </c>
      <c r="H50" s="92">
        <f>SUM(H51:H52)</f>
        <v>133</v>
      </c>
      <c r="I50" s="92">
        <f>SUM(I51:I52)</f>
        <v>133</v>
      </c>
    </row>
    <row r="51" spans="1:9" x14ac:dyDescent="0.25">
      <c r="A51" s="14"/>
      <c r="B51" s="33"/>
      <c r="C51" s="15">
        <v>21</v>
      </c>
      <c r="D51" s="115"/>
      <c r="E51" s="114"/>
      <c r="F51" s="92"/>
      <c r="G51" s="11">
        <v>7000</v>
      </c>
      <c r="H51" s="11"/>
      <c r="I51" s="11"/>
    </row>
    <row r="52" spans="1:9" x14ac:dyDescent="0.25">
      <c r="A52" s="14"/>
      <c r="B52" s="33"/>
      <c r="C52" s="15">
        <v>24</v>
      </c>
      <c r="D52" s="15"/>
      <c r="E52" s="10">
        <f>860.06/7.5345</f>
        <v>114.14957860508326</v>
      </c>
      <c r="F52" s="11">
        <f>1000/7.5345</f>
        <v>132.72280841462606</v>
      </c>
      <c r="G52" s="11">
        <v>133</v>
      </c>
      <c r="H52" s="11">
        <v>133</v>
      </c>
      <c r="I52" s="11">
        <v>133</v>
      </c>
    </row>
    <row r="53" spans="1:9" ht="25.5" x14ac:dyDescent="0.25">
      <c r="A53" s="16">
        <v>4</v>
      </c>
      <c r="B53" s="17"/>
      <c r="C53" s="17"/>
      <c r="D53" s="31" t="s">
        <v>25</v>
      </c>
      <c r="E53" s="10"/>
      <c r="F53" s="92">
        <f>F54</f>
        <v>27208.175724998342</v>
      </c>
      <c r="G53" s="92">
        <f>G54</f>
        <v>68459</v>
      </c>
      <c r="H53" s="92">
        <f>H54</f>
        <v>22664</v>
      </c>
      <c r="I53" s="11"/>
    </row>
    <row r="54" spans="1:9" ht="38.25" x14ac:dyDescent="0.25">
      <c r="A54" s="18"/>
      <c r="B54" s="13">
        <v>42</v>
      </c>
      <c r="C54" s="13"/>
      <c r="D54" s="31" t="s">
        <v>63</v>
      </c>
      <c r="E54" s="92">
        <f>SUM(E55:E57)</f>
        <v>18988.892428163777</v>
      </c>
      <c r="F54" s="92">
        <f>SUM(F55:F57)</f>
        <v>27208.175724998342</v>
      </c>
      <c r="G54" s="92">
        <f>SUM(G55:G57)</f>
        <v>68459</v>
      </c>
      <c r="H54" s="92">
        <f>SUM(H55:H57)</f>
        <v>22664</v>
      </c>
      <c r="I54" s="92">
        <f>SUM(I55:I57)</f>
        <v>22000</v>
      </c>
    </row>
    <row r="55" spans="1:9" x14ac:dyDescent="0.25">
      <c r="A55" s="18"/>
      <c r="B55" s="18"/>
      <c r="C55" s="18">
        <v>21</v>
      </c>
      <c r="D55" s="32"/>
      <c r="E55" s="10">
        <f>143071.81/7.5345</f>
        <v>18988.892428163777</v>
      </c>
      <c r="F55" s="11">
        <f>200000/7.5345</f>
        <v>26544.56168292521</v>
      </c>
      <c r="G55" s="11">
        <v>21248</v>
      </c>
      <c r="H55" s="11">
        <v>22000</v>
      </c>
      <c r="I55" s="12">
        <v>22000</v>
      </c>
    </row>
    <row r="56" spans="1:9" x14ac:dyDescent="0.25">
      <c r="A56" s="18"/>
      <c r="B56" s="18"/>
      <c r="C56" s="18">
        <v>24</v>
      </c>
      <c r="D56" s="32"/>
      <c r="E56" s="130"/>
      <c r="F56" s="11">
        <f>5000/7.5345</f>
        <v>663.61404207313024</v>
      </c>
      <c r="G56" s="11"/>
      <c r="H56" s="11">
        <v>664</v>
      </c>
      <c r="I56" s="12"/>
    </row>
    <row r="57" spans="1:9" x14ac:dyDescent="0.25">
      <c r="A57" s="18"/>
      <c r="B57" s="18"/>
      <c r="C57" s="18">
        <v>26</v>
      </c>
      <c r="D57" s="32"/>
      <c r="E57" s="130"/>
      <c r="F57" s="11"/>
      <c r="G57" s="11">
        <v>47211</v>
      </c>
      <c r="H57" s="11"/>
      <c r="I57" s="12"/>
    </row>
    <row r="58" spans="1:9" x14ac:dyDescent="0.25">
      <c r="A58" s="159" t="s">
        <v>3</v>
      </c>
      <c r="B58" s="160"/>
      <c r="C58" s="160"/>
      <c r="D58" s="161"/>
      <c r="E58" s="92">
        <f>E36+E54</f>
        <v>921543.57157077442</v>
      </c>
      <c r="F58" s="92">
        <f>F36+F54</f>
        <v>1012675.0282035966</v>
      </c>
      <c r="G58" s="92">
        <f>G36+G54</f>
        <v>1226353</v>
      </c>
      <c r="H58" s="92">
        <f>H36+H54</f>
        <v>1206457</v>
      </c>
      <c r="I58" s="92">
        <f>I36+I54</f>
        <v>1233203</v>
      </c>
    </row>
  </sheetData>
  <mergeCells count="6">
    <mergeCell ref="A58:D58"/>
    <mergeCell ref="A7:I7"/>
    <mergeCell ref="A33:I33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15" sqref="A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38" t="s">
        <v>62</v>
      </c>
      <c r="B1" s="138"/>
      <c r="C1" s="138"/>
      <c r="D1" s="138"/>
      <c r="E1" s="138"/>
      <c r="F1" s="138"/>
    </row>
    <row r="2" spans="1:6" ht="18" customHeight="1" x14ac:dyDescent="0.3">
      <c r="A2" s="5"/>
      <c r="B2" s="5"/>
      <c r="C2" s="5"/>
      <c r="D2" s="5"/>
      <c r="E2" s="5"/>
      <c r="F2" s="5"/>
    </row>
    <row r="3" spans="1:6" ht="15.75" x14ac:dyDescent="0.25">
      <c r="A3" s="138" t="s">
        <v>38</v>
      </c>
      <c r="B3" s="138"/>
      <c r="C3" s="138"/>
      <c r="D3" s="138"/>
      <c r="E3" s="155"/>
      <c r="F3" s="155"/>
    </row>
    <row r="4" spans="1:6" ht="17.45" x14ac:dyDescent="0.3">
      <c r="A4" s="5"/>
      <c r="B4" s="5"/>
      <c r="C4" s="5"/>
      <c r="D4" s="5"/>
      <c r="E4" s="6"/>
      <c r="F4" s="6"/>
    </row>
    <row r="5" spans="1:6" ht="18" customHeight="1" x14ac:dyDescent="0.25">
      <c r="A5" s="138" t="s">
        <v>15</v>
      </c>
      <c r="B5" s="139"/>
      <c r="C5" s="139"/>
      <c r="D5" s="139"/>
      <c r="E5" s="139"/>
      <c r="F5" s="139"/>
    </row>
    <row r="6" spans="1:6" ht="17.45" x14ac:dyDescent="0.3">
      <c r="A6" s="5"/>
      <c r="B6" s="5"/>
      <c r="C6" s="5"/>
      <c r="D6" s="5"/>
      <c r="E6" s="6"/>
      <c r="F6" s="6"/>
    </row>
    <row r="7" spans="1:6" ht="15.6" x14ac:dyDescent="0.3">
      <c r="A7" s="138" t="s">
        <v>26</v>
      </c>
      <c r="B7" s="162"/>
      <c r="C7" s="162"/>
      <c r="D7" s="162"/>
      <c r="E7" s="162"/>
      <c r="F7" s="162"/>
    </row>
    <row r="8" spans="1:6" ht="17.45" x14ac:dyDescent="0.3">
      <c r="A8" s="5"/>
      <c r="B8" s="5"/>
      <c r="C8" s="5"/>
      <c r="D8" s="5"/>
      <c r="E8" s="6"/>
      <c r="F8" s="6"/>
    </row>
    <row r="9" spans="1:6" ht="25.5" x14ac:dyDescent="0.25">
      <c r="A9" s="26" t="s">
        <v>27</v>
      </c>
      <c r="B9" s="25" t="s">
        <v>12</v>
      </c>
      <c r="C9" s="26" t="s">
        <v>13</v>
      </c>
      <c r="D9" s="26" t="s">
        <v>56</v>
      </c>
      <c r="E9" s="26" t="s">
        <v>57</v>
      </c>
      <c r="F9" s="26" t="s">
        <v>58</v>
      </c>
    </row>
    <row r="10" spans="1:6" ht="15.75" customHeight="1" x14ac:dyDescent="0.3">
      <c r="A10" s="13" t="s">
        <v>28</v>
      </c>
      <c r="B10" s="10"/>
      <c r="C10" s="11"/>
      <c r="D10" s="11"/>
      <c r="E10" s="11"/>
      <c r="F10" s="11"/>
    </row>
    <row r="11" spans="1:6" ht="15.75" customHeight="1" x14ac:dyDescent="0.25">
      <c r="A11" s="13" t="s">
        <v>29</v>
      </c>
      <c r="B11" s="10"/>
      <c r="C11" s="11"/>
      <c r="D11" s="11"/>
      <c r="E11" s="11"/>
      <c r="F11" s="11"/>
    </row>
    <row r="12" spans="1:6" ht="25.5" x14ac:dyDescent="0.25">
      <c r="A12" s="20" t="s">
        <v>30</v>
      </c>
      <c r="B12" s="10"/>
      <c r="C12" s="11"/>
      <c r="D12" s="11"/>
      <c r="E12" s="11"/>
      <c r="F12" s="11"/>
    </row>
    <row r="13" spans="1:6" x14ac:dyDescent="0.25">
      <c r="A13" s="19" t="s">
        <v>31</v>
      </c>
      <c r="B13" s="10"/>
      <c r="C13" s="11"/>
      <c r="D13" s="11"/>
      <c r="E13" s="11"/>
      <c r="F13" s="11"/>
    </row>
    <row r="14" spans="1:6" ht="14.45" x14ac:dyDescent="0.3">
      <c r="A14" s="13" t="s">
        <v>32</v>
      </c>
      <c r="B14" s="10"/>
      <c r="C14" s="11"/>
      <c r="D14" s="11"/>
      <c r="E14" s="11"/>
      <c r="F14" s="12"/>
    </row>
    <row r="15" spans="1:6" ht="25.5" x14ac:dyDescent="0.25">
      <c r="A15" s="21" t="s">
        <v>33</v>
      </c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38" t="s">
        <v>62</v>
      </c>
      <c r="B1" s="138"/>
      <c r="C1" s="138"/>
      <c r="D1" s="138"/>
      <c r="E1" s="138"/>
      <c r="F1" s="138"/>
      <c r="G1" s="138"/>
      <c r="H1" s="138"/>
      <c r="I1" s="138"/>
    </row>
    <row r="2" spans="1:9" ht="18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38" t="s">
        <v>38</v>
      </c>
      <c r="B3" s="138"/>
      <c r="C3" s="138"/>
      <c r="D3" s="138"/>
      <c r="E3" s="138"/>
      <c r="F3" s="138"/>
      <c r="G3" s="138"/>
      <c r="H3" s="155"/>
      <c r="I3" s="155"/>
    </row>
    <row r="4" spans="1:9" ht="17.45" x14ac:dyDescent="0.3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38" t="s">
        <v>34</v>
      </c>
      <c r="B5" s="139"/>
      <c r="C5" s="139"/>
      <c r="D5" s="139"/>
      <c r="E5" s="139"/>
      <c r="F5" s="139"/>
      <c r="G5" s="139"/>
      <c r="H5" s="139"/>
      <c r="I5" s="139"/>
    </row>
    <row r="6" spans="1:9" ht="17.45" x14ac:dyDescent="0.3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66</v>
      </c>
      <c r="E7" s="25" t="s">
        <v>12</v>
      </c>
      <c r="F7" s="26" t="s">
        <v>13</v>
      </c>
      <c r="G7" s="26" t="s">
        <v>56</v>
      </c>
      <c r="H7" s="26" t="s">
        <v>57</v>
      </c>
      <c r="I7" s="26" t="s">
        <v>58</v>
      </c>
    </row>
    <row r="8" spans="1:9" ht="25.5" x14ac:dyDescent="0.25">
      <c r="A8" s="13">
        <v>8</v>
      </c>
      <c r="B8" s="13"/>
      <c r="C8" s="13"/>
      <c r="D8" s="13" t="s">
        <v>35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42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43</v>
      </c>
      <c r="E10" s="10"/>
      <c r="F10" s="11"/>
      <c r="G10" s="11"/>
      <c r="H10" s="11"/>
      <c r="I10" s="11"/>
    </row>
    <row r="11" spans="1:9" ht="26.45" x14ac:dyDescent="0.3">
      <c r="A11" s="16">
        <v>5</v>
      </c>
      <c r="B11" s="17"/>
      <c r="C11" s="17"/>
      <c r="D11" s="31" t="s">
        <v>36</v>
      </c>
      <c r="E11" s="10"/>
      <c r="F11" s="11"/>
      <c r="G11" s="11"/>
      <c r="H11" s="11"/>
      <c r="I11" s="11"/>
    </row>
    <row r="12" spans="1:9" ht="26.45" x14ac:dyDescent="0.3">
      <c r="A12" s="18"/>
      <c r="B12" s="18">
        <v>54</v>
      </c>
      <c r="C12" s="18"/>
      <c r="D12" s="32" t="s">
        <v>44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ht="14.45" x14ac:dyDescent="0.3">
      <c r="A14" s="18"/>
      <c r="B14" s="18"/>
      <c r="C14" s="15">
        <v>31</v>
      </c>
      <c r="D14" s="15" t="s">
        <v>45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9"/>
  <sheetViews>
    <sheetView tabSelected="1" topLeftCell="A16" zoomScaleNormal="100" workbookViewId="0">
      <selection activeCell="G42" sqref="G4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1.85546875" customWidth="1"/>
    <col min="5" max="9" width="25.28515625" customWidth="1"/>
  </cols>
  <sheetData>
    <row r="1" spans="1:9" ht="15.75" x14ac:dyDescent="0.25">
      <c r="A1" s="138" t="s">
        <v>62</v>
      </c>
      <c r="B1" s="138"/>
      <c r="C1" s="138"/>
      <c r="D1" s="138"/>
      <c r="E1" s="138"/>
      <c r="F1" s="138"/>
      <c r="G1" s="138"/>
      <c r="H1" s="138"/>
      <c r="I1" s="138"/>
    </row>
    <row r="2" spans="1:9" ht="17.45" x14ac:dyDescent="0.3">
      <c r="A2" s="30"/>
      <c r="B2" s="30"/>
      <c r="C2" s="30"/>
      <c r="D2" s="30"/>
      <c r="E2" s="30"/>
      <c r="F2" s="30"/>
      <c r="G2" s="30"/>
      <c r="H2" s="6"/>
      <c r="I2" s="6"/>
    </row>
    <row r="3" spans="1:9" ht="15.6" x14ac:dyDescent="0.3">
      <c r="A3" s="138" t="s">
        <v>37</v>
      </c>
      <c r="B3" s="138"/>
      <c r="C3" s="138"/>
      <c r="D3" s="138"/>
      <c r="E3" s="138"/>
      <c r="F3" s="138"/>
      <c r="G3" s="138"/>
      <c r="H3" s="138"/>
      <c r="I3" s="138"/>
    </row>
    <row r="4" spans="1:9" ht="17.45" x14ac:dyDescent="0.3">
      <c r="A4" s="30"/>
      <c r="B4" s="30"/>
      <c r="C4" s="30"/>
      <c r="D4" s="30"/>
      <c r="E4" s="30"/>
      <c r="F4" s="30"/>
      <c r="G4" s="30"/>
      <c r="H4" s="6"/>
      <c r="I4" s="6"/>
    </row>
    <row r="5" spans="1:9" ht="25.5" x14ac:dyDescent="0.25">
      <c r="A5" s="193" t="s">
        <v>39</v>
      </c>
      <c r="B5" s="194"/>
      <c r="C5" s="195"/>
      <c r="D5" s="25" t="s">
        <v>40</v>
      </c>
      <c r="E5" s="25" t="s">
        <v>12</v>
      </c>
      <c r="F5" s="26" t="s">
        <v>13</v>
      </c>
      <c r="G5" s="26" t="s">
        <v>56</v>
      </c>
      <c r="H5" s="26" t="s">
        <v>57</v>
      </c>
      <c r="I5" s="26" t="s">
        <v>58</v>
      </c>
    </row>
    <row r="6" spans="1:9" x14ac:dyDescent="0.25">
      <c r="A6" s="187" t="s">
        <v>157</v>
      </c>
      <c r="B6" s="188"/>
      <c r="C6" s="189"/>
      <c r="D6" s="49" t="s">
        <v>136</v>
      </c>
      <c r="E6" s="11">
        <f>E7+E137</f>
        <v>921543.57157077466</v>
      </c>
      <c r="F6" s="11">
        <f>F7+F137</f>
        <v>1012675.0282035968</v>
      </c>
      <c r="G6" s="11">
        <f>G7+G137</f>
        <v>1226353.4953519257</v>
      </c>
      <c r="H6" s="11">
        <f>H7+H137</f>
        <v>1206457</v>
      </c>
      <c r="I6" s="11">
        <f>I7+I137</f>
        <v>1233203</v>
      </c>
    </row>
    <row r="7" spans="1:9" ht="25.5" x14ac:dyDescent="0.25">
      <c r="A7" s="187">
        <v>151001</v>
      </c>
      <c r="B7" s="188"/>
      <c r="C7" s="189"/>
      <c r="D7" s="85" t="s">
        <v>135</v>
      </c>
      <c r="E7" s="11">
        <f>E8+E84+E92+E100+E108+E112+E124+E116+E132</f>
        <v>902554.67914261087</v>
      </c>
      <c r="F7" s="11">
        <f>F8+F84+F92+F100+F108+F116+F124+F132</f>
        <v>985466.85247859848</v>
      </c>
      <c r="G7" s="11">
        <v>1157894</v>
      </c>
      <c r="H7" s="11">
        <f>H8+H84+H92+H100+H108+H116+H120+H124+H132</f>
        <v>1183793</v>
      </c>
      <c r="I7" s="11">
        <f>I8+I84+I92+I100+I108+I116+I120+I124+I132</f>
        <v>1211203</v>
      </c>
    </row>
    <row r="8" spans="1:9" ht="25.5" x14ac:dyDescent="0.25">
      <c r="A8" s="172" t="s">
        <v>134</v>
      </c>
      <c r="B8" s="173"/>
      <c r="C8" s="174"/>
      <c r="D8" s="49" t="s">
        <v>133</v>
      </c>
      <c r="E8" s="11">
        <f>E9+E29+E35+E61+E65+E70+E76</f>
        <v>884244.93728847313</v>
      </c>
      <c r="F8" s="11">
        <f>F9+F29+F35+F61+F65+F70+F76</f>
        <v>944322.78187006444</v>
      </c>
      <c r="G8" s="11">
        <f>G9+G29+G35+G61+G65+G70+G76</f>
        <v>1100698.3001328022</v>
      </c>
      <c r="H8" s="11">
        <f>H9+H29+H35+H61+H65+H70+H76</f>
        <v>1150333</v>
      </c>
      <c r="I8" s="11">
        <f>I9+I29+I35+I61+I65+I70+I76</f>
        <v>1187883</v>
      </c>
    </row>
    <row r="9" spans="1:9" x14ac:dyDescent="0.25">
      <c r="A9" s="163" t="s">
        <v>71</v>
      </c>
      <c r="B9" s="164"/>
      <c r="C9" s="165"/>
      <c r="D9" s="91" t="s">
        <v>79</v>
      </c>
      <c r="E9" s="92">
        <f>E11+E16+E27</f>
        <v>817878.8665472162</v>
      </c>
      <c r="F9" s="92">
        <f>F11+F16+F27</f>
        <v>862698.25469506928</v>
      </c>
      <c r="G9" s="92">
        <f>G11+G16+G27</f>
        <v>990890</v>
      </c>
      <c r="H9" s="92">
        <f>H11+H16+H27</f>
        <v>1036450</v>
      </c>
      <c r="I9" s="92">
        <f>I11+I16+I27</f>
        <v>1074000</v>
      </c>
    </row>
    <row r="10" spans="1:9" ht="14.45" x14ac:dyDescent="0.3">
      <c r="A10" s="169">
        <v>3</v>
      </c>
      <c r="B10" s="170"/>
      <c r="C10" s="171"/>
      <c r="D10" s="54" t="s">
        <v>23</v>
      </c>
      <c r="E10" s="63"/>
      <c r="F10" s="11"/>
      <c r="G10" s="11"/>
      <c r="H10" s="11"/>
      <c r="I10" s="12"/>
    </row>
    <row r="11" spans="1:9" ht="14.45" x14ac:dyDescent="0.3">
      <c r="A11" s="172">
        <v>31</v>
      </c>
      <c r="B11" s="173"/>
      <c r="C11" s="174"/>
      <c r="D11" s="85" t="s">
        <v>24</v>
      </c>
      <c r="E11" s="92">
        <f>SUM(E12:E15)</f>
        <v>794134.91273475357</v>
      </c>
      <c r="F11" s="92">
        <f>SUM(F12:F15)</f>
        <v>825535.86833897396</v>
      </c>
      <c r="G11" s="92">
        <f>SUM(G12:G15)</f>
        <v>936450</v>
      </c>
      <c r="H11" s="106">
        <v>986450</v>
      </c>
      <c r="I11" s="107">
        <v>1020000</v>
      </c>
    </row>
    <row r="12" spans="1:9" x14ac:dyDescent="0.25">
      <c r="A12" s="169">
        <v>3111</v>
      </c>
      <c r="B12" s="170"/>
      <c r="C12" s="171"/>
      <c r="D12" s="54" t="s">
        <v>67</v>
      </c>
      <c r="E12" s="132">
        <f>4953602.23/7.5345</f>
        <v>657455.99973455444</v>
      </c>
      <c r="F12" s="11">
        <f>5100000/7.5345</f>
        <v>676886.32291459281</v>
      </c>
      <c r="G12" s="11">
        <v>780400</v>
      </c>
      <c r="H12" s="11"/>
      <c r="I12" s="12"/>
    </row>
    <row r="13" spans="1:9" ht="14.45" x14ac:dyDescent="0.3">
      <c r="A13" s="169">
        <v>3121</v>
      </c>
      <c r="B13" s="170"/>
      <c r="C13" s="171"/>
      <c r="D13" s="54" t="s">
        <v>68</v>
      </c>
      <c r="E13" s="132">
        <f>212463/7.5345</f>
        <v>28198.686044196693</v>
      </c>
      <c r="F13" s="11">
        <f>220000/7.5345</f>
        <v>29199.01785121773</v>
      </c>
      <c r="G13" s="11">
        <v>32000</v>
      </c>
      <c r="H13" s="11"/>
      <c r="I13" s="12"/>
    </row>
    <row r="14" spans="1:9" ht="14.45" x14ac:dyDescent="0.3">
      <c r="A14" s="169">
        <v>3132</v>
      </c>
      <c r="B14" s="170"/>
      <c r="C14" s="171"/>
      <c r="D14" s="54" t="s">
        <v>69</v>
      </c>
      <c r="E14" s="132">
        <f>817344.27/7.5345</f>
        <v>108480.22695600239</v>
      </c>
      <c r="F14" s="11">
        <f>900000/7.5345</f>
        <v>119450.52757316345</v>
      </c>
      <c r="G14" s="11">
        <v>123400</v>
      </c>
      <c r="H14" s="11"/>
      <c r="I14" s="12"/>
    </row>
    <row r="15" spans="1:9" ht="14.45" x14ac:dyDescent="0.3">
      <c r="A15" s="190">
        <v>3133</v>
      </c>
      <c r="B15" s="191"/>
      <c r="C15" s="192"/>
      <c r="D15" s="54" t="s">
        <v>72</v>
      </c>
      <c r="E15" s="132"/>
      <c r="F15" s="11">
        <v>0</v>
      </c>
      <c r="G15" s="11">
        <v>650</v>
      </c>
      <c r="H15" s="11"/>
      <c r="I15" s="12"/>
    </row>
    <row r="16" spans="1:9" ht="14.45" x14ac:dyDescent="0.3">
      <c r="A16" s="196">
        <v>32</v>
      </c>
      <c r="B16" s="197"/>
      <c r="C16" s="198"/>
      <c r="D16" s="85" t="s">
        <v>41</v>
      </c>
      <c r="E16" s="92">
        <f>SUM(E17:E26)</f>
        <v>23743.953812462667</v>
      </c>
      <c r="F16" s="92">
        <f>SUM(F17:F26)</f>
        <v>37162.386356095296</v>
      </c>
      <c r="G16" s="92">
        <f>SUM(G17:G26)</f>
        <v>47440</v>
      </c>
      <c r="H16" s="92">
        <v>50000</v>
      </c>
      <c r="I16" s="107">
        <v>54000</v>
      </c>
    </row>
    <row r="17" spans="1:9" x14ac:dyDescent="0.25">
      <c r="A17" s="190">
        <v>3211</v>
      </c>
      <c r="B17" s="191"/>
      <c r="C17" s="192"/>
      <c r="D17" s="67" t="s">
        <v>82</v>
      </c>
      <c r="E17" s="132">
        <f>1472/7.5345</f>
        <v>195.36797398632953</v>
      </c>
      <c r="F17" s="11">
        <f>10000/7.5345</f>
        <v>1327.2280841462605</v>
      </c>
      <c r="G17" s="11">
        <v>1328</v>
      </c>
      <c r="H17" s="11"/>
      <c r="I17" s="12"/>
    </row>
    <row r="18" spans="1:9" ht="14.45" x14ac:dyDescent="0.3">
      <c r="A18" s="169">
        <v>3212</v>
      </c>
      <c r="B18" s="170"/>
      <c r="C18" s="171"/>
      <c r="D18" s="67" t="s">
        <v>70</v>
      </c>
      <c r="E18" s="132">
        <f>150657.86/7.5345</f>
        <v>19995.73428893755</v>
      </c>
      <c r="F18" s="11">
        <f>200000/7.5345</f>
        <v>26544.56168292521</v>
      </c>
      <c r="G18" s="11">
        <v>29200</v>
      </c>
      <c r="H18" s="11"/>
      <c r="I18" s="12"/>
    </row>
    <row r="19" spans="1:9" ht="14.45" x14ac:dyDescent="0.3">
      <c r="A19" s="190">
        <v>3221</v>
      </c>
      <c r="B19" s="191"/>
      <c r="C19" s="192"/>
      <c r="D19" s="67" t="s">
        <v>84</v>
      </c>
      <c r="E19" s="132">
        <f>593.96/7.5345</f>
        <v>78.832039285951296</v>
      </c>
      <c r="F19" s="11">
        <f>10000/7.5345</f>
        <v>1327.2280841462605</v>
      </c>
      <c r="G19" s="11">
        <v>1328</v>
      </c>
      <c r="H19" s="11"/>
      <c r="I19" s="12"/>
    </row>
    <row r="20" spans="1:9" ht="14.45" x14ac:dyDescent="0.3">
      <c r="A20" s="190">
        <v>3222</v>
      </c>
      <c r="B20" s="191"/>
      <c r="C20" s="192"/>
      <c r="D20" s="67" t="s">
        <v>115</v>
      </c>
      <c r="E20" s="132"/>
      <c r="F20" s="11">
        <f>10000/7.5345</f>
        <v>1327.2280841462605</v>
      </c>
      <c r="G20" s="11">
        <v>1328</v>
      </c>
      <c r="H20" s="11"/>
      <c r="I20" s="12"/>
    </row>
    <row r="21" spans="1:9" ht="14.45" x14ac:dyDescent="0.3">
      <c r="A21" s="190">
        <v>3225</v>
      </c>
      <c r="B21" s="191"/>
      <c r="C21" s="192"/>
      <c r="D21" s="88" t="s">
        <v>116</v>
      </c>
      <c r="E21" s="132"/>
      <c r="F21" s="11">
        <f>10000/7.5345</f>
        <v>1327.2280841462605</v>
      </c>
      <c r="G21" s="11">
        <v>1328</v>
      </c>
      <c r="H21" s="11"/>
      <c r="I21" s="12"/>
    </row>
    <row r="22" spans="1:9" ht="14.45" x14ac:dyDescent="0.3">
      <c r="A22" s="117">
        <v>3236</v>
      </c>
      <c r="B22" s="118"/>
      <c r="C22" s="119"/>
      <c r="D22" s="116" t="s">
        <v>92</v>
      </c>
      <c r="E22" s="132">
        <f>10950/7.5345</f>
        <v>1453.3147521401552</v>
      </c>
      <c r="F22" s="11"/>
      <c r="G22" s="11"/>
      <c r="H22" s="11"/>
      <c r="I22" s="12"/>
    </row>
    <row r="23" spans="1:9" ht="14.45" x14ac:dyDescent="0.3">
      <c r="A23" s="190">
        <v>3293</v>
      </c>
      <c r="B23" s="191"/>
      <c r="C23" s="192"/>
      <c r="D23" s="67" t="s">
        <v>97</v>
      </c>
      <c r="E23" s="132"/>
      <c r="F23" s="11">
        <f>10000/7.5345</f>
        <v>1327.2280841462605</v>
      </c>
      <c r="G23" s="11">
        <v>1328</v>
      </c>
      <c r="H23" s="11"/>
      <c r="I23" s="12"/>
    </row>
    <row r="24" spans="1:9" ht="14.45" x14ac:dyDescent="0.3">
      <c r="A24" s="169">
        <v>3295</v>
      </c>
      <c r="B24" s="170"/>
      <c r="C24" s="171"/>
      <c r="D24" s="54" t="s">
        <v>73</v>
      </c>
      <c r="E24" s="132">
        <f>15225/7.5345</f>
        <v>2020.7047581126815</v>
      </c>
      <c r="F24" s="11">
        <f>25000/7.5345</f>
        <v>3318.0702103656513</v>
      </c>
      <c r="G24" s="11">
        <v>5300</v>
      </c>
      <c r="H24" s="11"/>
      <c r="I24" s="12"/>
    </row>
    <row r="25" spans="1:9" x14ac:dyDescent="0.25">
      <c r="A25" s="169">
        <v>3296</v>
      </c>
      <c r="B25" s="170"/>
      <c r="C25" s="171"/>
      <c r="D25" s="54" t="s">
        <v>74</v>
      </c>
      <c r="E25" s="132"/>
      <c r="F25" s="11">
        <v>0</v>
      </c>
      <c r="G25" s="11">
        <v>5000</v>
      </c>
      <c r="H25" s="11"/>
      <c r="I25" s="12"/>
    </row>
    <row r="26" spans="1:9" ht="14.45" x14ac:dyDescent="0.3">
      <c r="A26" s="169">
        <v>3299</v>
      </c>
      <c r="B26" s="170"/>
      <c r="C26" s="171"/>
      <c r="D26" s="54" t="s">
        <v>75</v>
      </c>
      <c r="E26" s="132"/>
      <c r="F26" s="11">
        <f>5000/7.5345</f>
        <v>663.61404207313024</v>
      </c>
      <c r="G26" s="11">
        <v>1300</v>
      </c>
      <c r="H26" s="11"/>
      <c r="I26" s="12"/>
    </row>
    <row r="27" spans="1:9" ht="14.45" x14ac:dyDescent="0.3">
      <c r="A27" s="172">
        <v>34</v>
      </c>
      <c r="B27" s="173"/>
      <c r="C27" s="174"/>
      <c r="D27" s="85" t="s">
        <v>119</v>
      </c>
      <c r="E27" s="96"/>
      <c r="F27" s="92">
        <v>0</v>
      </c>
      <c r="G27" s="92">
        <v>7000</v>
      </c>
      <c r="H27" s="92"/>
      <c r="I27" s="107"/>
    </row>
    <row r="28" spans="1:9" ht="14.45" x14ac:dyDescent="0.3">
      <c r="A28" s="169">
        <v>3433</v>
      </c>
      <c r="B28" s="170"/>
      <c r="C28" s="171"/>
      <c r="D28" s="54" t="s">
        <v>76</v>
      </c>
      <c r="E28" s="63"/>
      <c r="F28" s="11">
        <v>0</v>
      </c>
      <c r="G28" s="11">
        <v>7000</v>
      </c>
      <c r="H28" s="11"/>
      <c r="I28" s="12"/>
    </row>
    <row r="29" spans="1:9" x14ac:dyDescent="0.25">
      <c r="A29" s="163" t="s">
        <v>77</v>
      </c>
      <c r="B29" s="164"/>
      <c r="C29" s="165"/>
      <c r="D29" s="91" t="s">
        <v>78</v>
      </c>
      <c r="E29" s="96"/>
      <c r="F29" s="92">
        <f>SUM(F31:F34)</f>
        <v>1327.2280841462605</v>
      </c>
      <c r="G29" s="92">
        <f>SUM(G31:G34)</f>
        <v>1300</v>
      </c>
      <c r="H29" s="92">
        <v>1300</v>
      </c>
      <c r="I29" s="107">
        <v>1300</v>
      </c>
    </row>
    <row r="30" spans="1:9" ht="14.45" x14ac:dyDescent="0.3">
      <c r="A30" s="163">
        <v>32</v>
      </c>
      <c r="B30" s="164"/>
      <c r="C30" s="165"/>
      <c r="D30" s="85" t="s">
        <v>41</v>
      </c>
      <c r="E30" s="96"/>
      <c r="F30" s="92">
        <f>SUM(F31:F34)</f>
        <v>1327.2280841462605</v>
      </c>
      <c r="G30" s="92">
        <f>SUM(G31:G34)</f>
        <v>1300</v>
      </c>
      <c r="H30" s="92">
        <v>1300</v>
      </c>
      <c r="I30" s="107">
        <v>1300</v>
      </c>
    </row>
    <row r="31" spans="1:9" x14ac:dyDescent="0.25">
      <c r="A31" s="169">
        <v>3211</v>
      </c>
      <c r="B31" s="170"/>
      <c r="C31" s="171"/>
      <c r="D31" s="67" t="s">
        <v>82</v>
      </c>
      <c r="E31" s="63"/>
      <c r="F31" s="11">
        <f>1000/7.5345</f>
        <v>132.72280841462606</v>
      </c>
      <c r="G31" s="11">
        <v>150</v>
      </c>
      <c r="H31" s="11"/>
      <c r="I31" s="12"/>
    </row>
    <row r="32" spans="1:9" ht="25.5" x14ac:dyDescent="0.25">
      <c r="A32" s="169">
        <v>3214</v>
      </c>
      <c r="B32" s="170"/>
      <c r="C32" s="171"/>
      <c r="D32" s="67" t="s">
        <v>117</v>
      </c>
      <c r="E32" s="63"/>
      <c r="F32" s="11">
        <f>2000/7.5345</f>
        <v>265.44561682925212</v>
      </c>
      <c r="G32" s="11">
        <v>250</v>
      </c>
      <c r="H32" s="11"/>
      <c r="I32" s="12"/>
    </row>
    <row r="33" spans="1:9" x14ac:dyDescent="0.25">
      <c r="A33" s="169">
        <v>3231</v>
      </c>
      <c r="B33" s="170"/>
      <c r="C33" s="171"/>
      <c r="D33" s="67" t="s">
        <v>89</v>
      </c>
      <c r="E33" s="63"/>
      <c r="F33" s="11">
        <f>4000/7.5345</f>
        <v>530.89123365850423</v>
      </c>
      <c r="G33" s="11">
        <v>500</v>
      </c>
      <c r="H33" s="11"/>
      <c r="I33" s="12"/>
    </row>
    <row r="34" spans="1:9" ht="14.45" x14ac:dyDescent="0.3">
      <c r="A34" s="169">
        <v>3299</v>
      </c>
      <c r="B34" s="170"/>
      <c r="C34" s="171"/>
      <c r="D34" s="54" t="s">
        <v>75</v>
      </c>
      <c r="E34" s="63"/>
      <c r="F34" s="11">
        <f>3000/7.5345</f>
        <v>398.16842524387812</v>
      </c>
      <c r="G34" s="11">
        <v>400</v>
      </c>
      <c r="H34" s="11"/>
      <c r="I34" s="12"/>
    </row>
    <row r="35" spans="1:9" ht="25.5" x14ac:dyDescent="0.25">
      <c r="A35" s="163" t="s">
        <v>80</v>
      </c>
      <c r="B35" s="164"/>
      <c r="C35" s="165"/>
      <c r="D35" s="91" t="s">
        <v>81</v>
      </c>
      <c r="E35" s="131">
        <f>E36+E59</f>
        <v>51954.663215873639</v>
      </c>
      <c r="F35" s="92">
        <f>F36+F59</f>
        <v>55743.579534142948</v>
      </c>
      <c r="G35" s="92">
        <f>G36+G59</f>
        <v>71181.938911022546</v>
      </c>
      <c r="H35" s="92">
        <f>H36+H59</f>
        <v>75133</v>
      </c>
      <c r="I35" s="92">
        <f>I36+I59</f>
        <v>75133</v>
      </c>
    </row>
    <row r="36" spans="1:9" ht="14.45" x14ac:dyDescent="0.3">
      <c r="A36" s="175">
        <v>32</v>
      </c>
      <c r="B36" s="176"/>
      <c r="C36" s="177"/>
      <c r="D36" s="85" t="s">
        <v>41</v>
      </c>
      <c r="E36" s="131">
        <f>SUM(E37:E58)</f>
        <v>51840.513637268559</v>
      </c>
      <c r="F36" s="92">
        <f>SUM(F37:F58)</f>
        <v>55610.856725728321</v>
      </c>
      <c r="G36" s="92">
        <f>SUM(G37:G58)</f>
        <v>71049.136786188552</v>
      </c>
      <c r="H36" s="92">
        <v>75000</v>
      </c>
      <c r="I36" s="107">
        <v>75000</v>
      </c>
    </row>
    <row r="37" spans="1:9" x14ac:dyDescent="0.25">
      <c r="A37" s="55">
        <v>3211</v>
      </c>
      <c r="B37" s="56"/>
      <c r="C37" s="57"/>
      <c r="D37" s="54" t="s">
        <v>82</v>
      </c>
      <c r="E37" s="132">
        <f>8713/7.5345</f>
        <v>1156.4138297166367</v>
      </c>
      <c r="F37" s="11">
        <f>20000/7.5345</f>
        <v>2654.4561682925209</v>
      </c>
      <c r="G37" s="11">
        <f>25000/7.53</f>
        <v>3320.0531208499333</v>
      </c>
      <c r="H37" s="11"/>
      <c r="I37" s="12"/>
    </row>
    <row r="38" spans="1:9" x14ac:dyDescent="0.25">
      <c r="A38" s="55">
        <v>3213</v>
      </c>
      <c r="B38" s="56"/>
      <c r="C38" s="57"/>
      <c r="D38" s="54" t="s">
        <v>83</v>
      </c>
      <c r="E38" s="132">
        <f>5405/7.5345</f>
        <v>717.36677948105375</v>
      </c>
      <c r="F38" s="11">
        <f>3000/7.5345</f>
        <v>398.16842524387812</v>
      </c>
      <c r="G38" s="11">
        <f>6000/7.53</f>
        <v>796.81274900398398</v>
      </c>
      <c r="H38" s="11"/>
      <c r="I38" s="12"/>
    </row>
    <row r="39" spans="1:9" ht="25.5" x14ac:dyDescent="0.25">
      <c r="A39" s="68">
        <v>3214</v>
      </c>
      <c r="B39" s="69"/>
      <c r="C39" s="70"/>
      <c r="D39" s="67" t="s">
        <v>117</v>
      </c>
      <c r="E39" s="132">
        <f>2856/7.5345</f>
        <v>379.056340832172</v>
      </c>
      <c r="F39" s="11">
        <f>3000/7.5345</f>
        <v>398.16842524387812</v>
      </c>
      <c r="G39" s="11">
        <f>3000/7.53</f>
        <v>398.40637450199199</v>
      </c>
      <c r="H39" s="11"/>
      <c r="I39" s="12"/>
    </row>
    <row r="40" spans="1:9" x14ac:dyDescent="0.25">
      <c r="A40" s="55">
        <v>3221</v>
      </c>
      <c r="B40" s="56"/>
      <c r="C40" s="57"/>
      <c r="D40" s="54" t="s">
        <v>84</v>
      </c>
      <c r="E40" s="132">
        <f>57829.07/7.5345</f>
        <v>7675.2365784059984</v>
      </c>
      <c r="F40" s="11">
        <f>50000/7.5345</f>
        <v>6636.1404207313026</v>
      </c>
      <c r="G40" s="11">
        <f>55000/7.53</f>
        <v>7304.1168658698534</v>
      </c>
      <c r="H40" s="11"/>
      <c r="I40" s="12"/>
    </row>
    <row r="41" spans="1:9" x14ac:dyDescent="0.25">
      <c r="A41" s="68">
        <v>3222</v>
      </c>
      <c r="B41" s="69"/>
      <c r="C41" s="70"/>
      <c r="D41" s="67" t="s">
        <v>115</v>
      </c>
      <c r="E41" s="132"/>
      <c r="F41" s="11">
        <f>5000/7.5345</f>
        <v>663.61404207313024</v>
      </c>
      <c r="G41" s="11">
        <f>5000/7.53</f>
        <v>664.01062416998673</v>
      </c>
      <c r="H41" s="11"/>
      <c r="I41" s="12"/>
    </row>
    <row r="42" spans="1:9" x14ac:dyDescent="0.25">
      <c r="A42" s="55">
        <v>3223</v>
      </c>
      <c r="B42" s="56"/>
      <c r="C42" s="57"/>
      <c r="D42" s="54" t="s">
        <v>85</v>
      </c>
      <c r="E42" s="132">
        <f>98519.82/7.5345</f>
        <v>13075.827194903444</v>
      </c>
      <c r="F42" s="11">
        <f>125000/7.5345</f>
        <v>16590.351051828256</v>
      </c>
      <c r="G42" s="11">
        <f>195000/7.53</f>
        <v>25896.41434262948</v>
      </c>
      <c r="H42" s="11"/>
      <c r="I42" s="12"/>
    </row>
    <row r="43" spans="1:9" x14ac:dyDescent="0.25">
      <c r="A43" s="55">
        <v>3224</v>
      </c>
      <c r="B43" s="56"/>
      <c r="C43" s="57"/>
      <c r="D43" s="54" t="s">
        <v>118</v>
      </c>
      <c r="E43" s="132">
        <f>20451.81/7.5345</f>
        <v>2714.4216603623331</v>
      </c>
      <c r="F43" s="11">
        <f>15000/7.5345</f>
        <v>1990.8421262193906</v>
      </c>
      <c r="G43" s="11">
        <f>15000/7.53</f>
        <v>1992.0318725099601</v>
      </c>
      <c r="H43" s="11"/>
      <c r="I43" s="12"/>
    </row>
    <row r="44" spans="1:9" x14ac:dyDescent="0.25">
      <c r="A44" s="55">
        <v>3225</v>
      </c>
      <c r="B44" s="56"/>
      <c r="C44" s="57"/>
      <c r="D44" s="54" t="s">
        <v>87</v>
      </c>
      <c r="E44" s="132">
        <f>17078.45/7.5345</f>
        <v>2266.6998473687704</v>
      </c>
      <c r="F44" s="11">
        <f>10000/7.5345</f>
        <v>1327.2280841462605</v>
      </c>
      <c r="G44" s="11">
        <f>10000/7.53</f>
        <v>1328.0212483399735</v>
      </c>
      <c r="H44" s="11"/>
      <c r="I44" s="12"/>
    </row>
    <row r="45" spans="1:9" x14ac:dyDescent="0.25">
      <c r="A45" s="55">
        <v>3227</v>
      </c>
      <c r="B45" s="56"/>
      <c r="C45" s="57"/>
      <c r="D45" s="54" t="s">
        <v>88</v>
      </c>
      <c r="E45" s="132">
        <f>1769.33/7.5345</f>
        <v>234.83044661225028</v>
      </c>
      <c r="F45" s="11">
        <f>2000/7.5345</f>
        <v>265.44561682925212</v>
      </c>
      <c r="G45" s="11">
        <f>2000/7.53</f>
        <v>265.60424966799468</v>
      </c>
      <c r="H45" s="11"/>
      <c r="I45" s="12"/>
    </row>
    <row r="46" spans="1:9" x14ac:dyDescent="0.25">
      <c r="A46" s="55">
        <v>3231</v>
      </c>
      <c r="B46" s="56"/>
      <c r="C46" s="57"/>
      <c r="D46" s="54" t="s">
        <v>89</v>
      </c>
      <c r="E46" s="132">
        <f>17713.55/7.5345</f>
        <v>2350.9921029928992</v>
      </c>
      <c r="F46" s="11">
        <f>20000/7.5345</f>
        <v>2654.4561682925209</v>
      </c>
      <c r="G46" s="11">
        <f>20000/7.53</f>
        <v>2656.0424966799469</v>
      </c>
      <c r="H46" s="11"/>
      <c r="I46" s="12"/>
    </row>
    <row r="47" spans="1:9" x14ac:dyDescent="0.25">
      <c r="A47" s="55">
        <v>3232</v>
      </c>
      <c r="B47" s="56"/>
      <c r="C47" s="57"/>
      <c r="D47" s="54" t="s">
        <v>90</v>
      </c>
      <c r="E47" s="132">
        <f>51065.63/7.5345</f>
        <v>6777.5738270621796</v>
      </c>
      <c r="F47" s="11">
        <f>40000/7.5345</f>
        <v>5308.9123365850419</v>
      </c>
      <c r="G47" s="11">
        <f>50000/7.53</f>
        <v>6640.1062416998666</v>
      </c>
      <c r="H47" s="11"/>
      <c r="I47" s="12"/>
    </row>
    <row r="48" spans="1:9" x14ac:dyDescent="0.25">
      <c r="A48" s="55">
        <v>3234</v>
      </c>
      <c r="B48" s="56"/>
      <c r="C48" s="57"/>
      <c r="D48" s="54" t="s">
        <v>91</v>
      </c>
      <c r="E48" s="132">
        <f>54896.62/7.5345</f>
        <v>7286.0335788705288</v>
      </c>
      <c r="F48" s="11">
        <f>60000/7.5345</f>
        <v>7963.3685048775624</v>
      </c>
      <c r="G48" s="11">
        <f>65000/7.53</f>
        <v>8632.1381142098271</v>
      </c>
      <c r="H48" s="11"/>
      <c r="I48" s="12"/>
    </row>
    <row r="49" spans="1:9" x14ac:dyDescent="0.25">
      <c r="A49" s="73">
        <v>3235</v>
      </c>
      <c r="B49" s="74"/>
      <c r="C49" s="75"/>
      <c r="D49" s="77" t="s">
        <v>130</v>
      </c>
      <c r="E49" s="132"/>
      <c r="F49" s="11"/>
      <c r="G49" s="11">
        <f>24000/7.53</f>
        <v>3187.2509960159359</v>
      </c>
      <c r="H49" s="11"/>
      <c r="I49" s="12"/>
    </row>
    <row r="50" spans="1:9" x14ac:dyDescent="0.25">
      <c r="A50" s="55">
        <v>3236</v>
      </c>
      <c r="B50" s="56"/>
      <c r="C50" s="57"/>
      <c r="D50" s="54" t="s">
        <v>92</v>
      </c>
      <c r="E50" s="132">
        <f>8630/7.5345</f>
        <v>1145.3978366182228</v>
      </c>
      <c r="F50" s="11">
        <f>10000/7.5345</f>
        <v>1327.2280841462605</v>
      </c>
      <c r="G50" s="11">
        <f>20000/7.53</f>
        <v>2656.0424966799469</v>
      </c>
      <c r="H50" s="11"/>
      <c r="I50" s="12"/>
    </row>
    <row r="51" spans="1:9" x14ac:dyDescent="0.25">
      <c r="A51" s="55">
        <v>3237</v>
      </c>
      <c r="B51" s="56"/>
      <c r="C51" s="57"/>
      <c r="D51" s="54" t="s">
        <v>93</v>
      </c>
      <c r="E51" s="132">
        <f>4062.5/7.5345</f>
        <v>539.18640918441827</v>
      </c>
      <c r="F51" s="11">
        <f>2000/7.5345</f>
        <v>265.44561682925212</v>
      </c>
      <c r="G51" s="11">
        <f>2000/7.53</f>
        <v>265.60424966799468</v>
      </c>
      <c r="H51" s="11"/>
      <c r="I51" s="12"/>
    </row>
    <row r="52" spans="1:9" x14ac:dyDescent="0.25">
      <c r="A52" s="55">
        <v>3238</v>
      </c>
      <c r="B52" s="56"/>
      <c r="C52" s="57"/>
      <c r="D52" s="54" t="s">
        <v>94</v>
      </c>
      <c r="E52" s="132">
        <f>2000/7.5345</f>
        <v>265.44561682925212</v>
      </c>
      <c r="F52" s="11">
        <f>2000/7.5345</f>
        <v>265.44561682925212</v>
      </c>
      <c r="G52" s="11">
        <f>2000/7.53</f>
        <v>265.60424966799468</v>
      </c>
      <c r="H52" s="11"/>
      <c r="I52" s="12"/>
    </row>
    <row r="53" spans="1:9" x14ac:dyDescent="0.25">
      <c r="A53" s="55">
        <v>3239</v>
      </c>
      <c r="B53" s="56"/>
      <c r="C53" s="57"/>
      <c r="D53" s="54" t="s">
        <v>95</v>
      </c>
      <c r="E53" s="132">
        <f>27038.22/7.5345</f>
        <v>3588.5884929325102</v>
      </c>
      <c r="F53" s="11">
        <f>30000/7.5345</f>
        <v>3981.6842524387812</v>
      </c>
      <c r="G53" s="11">
        <f>15000/7.53</f>
        <v>1992.0318725099601</v>
      </c>
      <c r="H53" s="11"/>
      <c r="I53" s="12"/>
    </row>
    <row r="54" spans="1:9" x14ac:dyDescent="0.25">
      <c r="A54" s="55">
        <v>3292</v>
      </c>
      <c r="B54" s="56"/>
      <c r="C54" s="57"/>
      <c r="D54" s="54" t="s">
        <v>96</v>
      </c>
      <c r="E54" s="132">
        <f>9834.93/7.5345</f>
        <v>1305.3195301612582</v>
      </c>
      <c r="F54" s="11">
        <f>11000/7.5345</f>
        <v>1459.9508925608866</v>
      </c>
      <c r="G54" s="11">
        <f>11000/7.53</f>
        <v>1460.8233731739708</v>
      </c>
      <c r="H54" s="11"/>
      <c r="I54" s="12"/>
    </row>
    <row r="55" spans="1:9" x14ac:dyDescent="0.25">
      <c r="A55" s="55">
        <v>3293</v>
      </c>
      <c r="B55" s="56"/>
      <c r="C55" s="57"/>
      <c r="D55" s="54" t="s">
        <v>97</v>
      </c>
      <c r="E55" s="132"/>
      <c r="F55" s="11">
        <f>2000/7.5345</f>
        <v>265.44561682925212</v>
      </c>
      <c r="G55" s="11">
        <f>2000/7.53</f>
        <v>265.60424966799468</v>
      </c>
      <c r="H55" s="11"/>
      <c r="I55" s="12"/>
    </row>
    <row r="56" spans="1:9" x14ac:dyDescent="0.25">
      <c r="A56" s="55">
        <v>3294</v>
      </c>
      <c r="B56" s="56"/>
      <c r="C56" s="57"/>
      <c r="D56" s="54" t="s">
        <v>98</v>
      </c>
      <c r="E56" s="132">
        <f>1450/7.5345</f>
        <v>192.44807220120776</v>
      </c>
      <c r="F56" s="11">
        <f>3000/7.5345</f>
        <v>398.16842524387812</v>
      </c>
      <c r="G56" s="11">
        <f>3000/7.53</f>
        <v>398.40637450199199</v>
      </c>
      <c r="H56" s="11"/>
      <c r="I56" s="12"/>
    </row>
    <row r="57" spans="1:9" x14ac:dyDescent="0.25">
      <c r="A57" s="55">
        <v>3295</v>
      </c>
      <c r="B57" s="56"/>
      <c r="C57" s="57"/>
      <c r="D57" s="54" t="s">
        <v>73</v>
      </c>
      <c r="E57" s="132"/>
      <c r="F57" s="11">
        <f>2000/7.5345</f>
        <v>265.44561682925212</v>
      </c>
      <c r="G57" s="11">
        <f>1000/7.53</f>
        <v>132.80212483399734</v>
      </c>
      <c r="H57" s="11"/>
      <c r="I57" s="12"/>
    </row>
    <row r="58" spans="1:9" x14ac:dyDescent="0.25">
      <c r="A58" s="55">
        <v>3299</v>
      </c>
      <c r="B58" s="56"/>
      <c r="C58" s="57"/>
      <c r="D58" s="54" t="s">
        <v>75</v>
      </c>
      <c r="E58" s="132">
        <f>1278.42/7.5345</f>
        <v>169.67549273342624</v>
      </c>
      <c r="F58" s="11">
        <f>4000/7.5345</f>
        <v>530.89123365850423</v>
      </c>
      <c r="G58" s="11">
        <f>4000/7.53</f>
        <v>531.20849933598936</v>
      </c>
      <c r="H58" s="11"/>
      <c r="I58" s="12"/>
    </row>
    <row r="59" spans="1:9" x14ac:dyDescent="0.25">
      <c r="A59" s="101">
        <v>34</v>
      </c>
      <c r="B59" s="102"/>
      <c r="C59" s="103"/>
      <c r="D59" s="85" t="s">
        <v>119</v>
      </c>
      <c r="E59" s="131">
        <f>SUM(E60:E60)</f>
        <v>114.14957860508326</v>
      </c>
      <c r="F59" s="92">
        <f>SUM(F60:F60)</f>
        <v>132.72280841462606</v>
      </c>
      <c r="G59" s="92">
        <f>1000/7.53</f>
        <v>132.80212483399734</v>
      </c>
      <c r="H59" s="92">
        <v>133</v>
      </c>
      <c r="I59" s="107">
        <v>133</v>
      </c>
    </row>
    <row r="60" spans="1:9" x14ac:dyDescent="0.25">
      <c r="A60" s="55">
        <v>3433</v>
      </c>
      <c r="B60" s="56"/>
      <c r="C60" s="57"/>
      <c r="D60" s="54" t="s">
        <v>76</v>
      </c>
      <c r="E60" s="132">
        <f>860.06/7.5345</f>
        <v>114.14957860508326</v>
      </c>
      <c r="F60" s="11">
        <f>1000/7.5345</f>
        <v>132.72280841462606</v>
      </c>
      <c r="G60" s="11">
        <f>1000/7.53</f>
        <v>132.80212483399734</v>
      </c>
      <c r="H60" s="11"/>
      <c r="I60" s="12"/>
    </row>
    <row r="61" spans="1:9" ht="25.5" x14ac:dyDescent="0.25">
      <c r="A61" s="163" t="s">
        <v>99</v>
      </c>
      <c r="B61" s="164"/>
      <c r="C61" s="165"/>
      <c r="D61" s="95" t="s">
        <v>132</v>
      </c>
      <c r="E61" s="131">
        <f>SUM(E62:E62)</f>
        <v>12212.588758378128</v>
      </c>
      <c r="F61" s="92">
        <f>SUM(F62:F62)</f>
        <v>19908.421262193908</v>
      </c>
      <c r="G61" s="92">
        <f>SUM(G62:G62)</f>
        <v>19920.318725099602</v>
      </c>
      <c r="H61" s="92">
        <v>20000</v>
      </c>
      <c r="I61" s="107">
        <v>20000</v>
      </c>
    </row>
    <row r="62" spans="1:9" x14ac:dyDescent="0.25">
      <c r="A62" s="93">
        <v>32</v>
      </c>
      <c r="B62" s="94"/>
      <c r="C62" s="95"/>
      <c r="D62" s="85" t="s">
        <v>41</v>
      </c>
      <c r="E62" s="131">
        <f>SUM(E63:E64)</f>
        <v>12212.588758378128</v>
      </c>
      <c r="F62" s="92">
        <f>SUM(F63:F64)</f>
        <v>19908.421262193908</v>
      </c>
      <c r="G62" s="92">
        <f>SUM(G63:G64)</f>
        <v>19920.318725099602</v>
      </c>
      <c r="H62" s="11">
        <v>20000</v>
      </c>
      <c r="I62" s="12">
        <v>20000</v>
      </c>
    </row>
    <row r="63" spans="1:9" x14ac:dyDescent="0.25">
      <c r="A63" s="64">
        <v>3239</v>
      </c>
      <c r="B63" s="65"/>
      <c r="C63" s="66"/>
      <c r="D63" s="67" t="s">
        <v>120</v>
      </c>
      <c r="E63" s="132">
        <f>9534.86/7.5345</f>
        <v>1265.4933970402815</v>
      </c>
      <c r="F63" s="11">
        <f>30000/7.5345</f>
        <v>3981.6842524387812</v>
      </c>
      <c r="G63" s="11">
        <f>30000/7.53</f>
        <v>3984.0637450199201</v>
      </c>
      <c r="H63" s="11"/>
      <c r="I63" s="12"/>
    </row>
    <row r="64" spans="1:9" x14ac:dyDescent="0.25">
      <c r="A64" s="50">
        <v>3299</v>
      </c>
      <c r="B64" s="51"/>
      <c r="C64" s="52"/>
      <c r="D64" s="54" t="s">
        <v>75</v>
      </c>
      <c r="E64" s="132">
        <f>82480.89/7.5345</f>
        <v>10947.095361337846</v>
      </c>
      <c r="F64" s="11">
        <f>120000/7.5345</f>
        <v>15926.737009755125</v>
      </c>
      <c r="G64" s="11">
        <f>120000/7.53</f>
        <v>15936.254980079681</v>
      </c>
      <c r="H64" s="11"/>
      <c r="I64" s="12"/>
    </row>
    <row r="65" spans="1:9" x14ac:dyDescent="0.25">
      <c r="A65" s="163" t="s">
        <v>121</v>
      </c>
      <c r="B65" s="164"/>
      <c r="C65" s="165"/>
      <c r="D65" s="95" t="s">
        <v>122</v>
      </c>
      <c r="E65" s="133"/>
      <c r="F65" s="92">
        <f>SUM(F67:F69)</f>
        <v>1990.8421262193906</v>
      </c>
      <c r="G65" s="92">
        <f>SUM(G67:G69)</f>
        <v>1992.0318725099601</v>
      </c>
      <c r="H65" s="92">
        <v>2000</v>
      </c>
      <c r="I65" s="107">
        <v>2000</v>
      </c>
    </row>
    <row r="66" spans="1:9" x14ac:dyDescent="0.25">
      <c r="A66" s="93">
        <v>32</v>
      </c>
      <c r="B66" s="94"/>
      <c r="C66" s="95"/>
      <c r="D66" s="85" t="s">
        <v>41</v>
      </c>
      <c r="E66" s="133"/>
      <c r="F66" s="92">
        <f>SUM(F67:F69)</f>
        <v>1990.8421262193906</v>
      </c>
      <c r="G66" s="92">
        <f>SUM(G68:G70)</f>
        <v>1992.0318725099601</v>
      </c>
      <c r="H66" s="11">
        <v>2000</v>
      </c>
      <c r="I66" s="12">
        <v>2000</v>
      </c>
    </row>
    <row r="67" spans="1:9" x14ac:dyDescent="0.25">
      <c r="A67" s="64">
        <v>3221</v>
      </c>
      <c r="B67" s="65"/>
      <c r="C67" s="66"/>
      <c r="D67" s="67" t="s">
        <v>84</v>
      </c>
      <c r="E67" s="132"/>
      <c r="F67" s="11">
        <f>5000/7.5345</f>
        <v>663.61404207313024</v>
      </c>
      <c r="G67" s="11">
        <f t="shared" ref="G67:G69" si="0">5000/7.53</f>
        <v>664.01062416998673</v>
      </c>
      <c r="H67" s="11"/>
      <c r="I67" s="12"/>
    </row>
    <row r="68" spans="1:9" x14ac:dyDescent="0.25">
      <c r="A68" s="64">
        <v>3222</v>
      </c>
      <c r="B68" s="65"/>
      <c r="C68" s="66"/>
      <c r="D68" s="67" t="s">
        <v>115</v>
      </c>
      <c r="E68" s="132"/>
      <c r="F68" s="11">
        <f>5000/7.5345</f>
        <v>663.61404207313024</v>
      </c>
      <c r="G68" s="11">
        <f t="shared" si="0"/>
        <v>664.01062416998673</v>
      </c>
      <c r="H68" s="11"/>
      <c r="I68" s="12"/>
    </row>
    <row r="69" spans="1:9" x14ac:dyDescent="0.25">
      <c r="A69" s="64">
        <v>3239</v>
      </c>
      <c r="B69" s="65"/>
      <c r="C69" s="66"/>
      <c r="D69" s="67" t="s">
        <v>120</v>
      </c>
      <c r="E69" s="132"/>
      <c r="F69" s="11">
        <f>5000/7.5345</f>
        <v>663.61404207313024</v>
      </c>
      <c r="G69" s="11">
        <f t="shared" si="0"/>
        <v>664.01062416998673</v>
      </c>
      <c r="H69" s="11"/>
      <c r="I69" s="12"/>
    </row>
    <row r="70" spans="1:9" x14ac:dyDescent="0.25">
      <c r="A70" s="163" t="s">
        <v>100</v>
      </c>
      <c r="B70" s="164"/>
      <c r="C70" s="165"/>
      <c r="D70" s="95" t="s">
        <v>45</v>
      </c>
      <c r="E70" s="133"/>
      <c r="F70" s="92">
        <f>SUM(F72:F75)</f>
        <v>663.61404207313035</v>
      </c>
      <c r="G70" s="92">
        <f>SUM(G72:G75)</f>
        <v>664.01062416998661</v>
      </c>
      <c r="H70" s="92">
        <v>700</v>
      </c>
      <c r="I70" s="92">
        <v>700</v>
      </c>
    </row>
    <row r="71" spans="1:9" x14ac:dyDescent="0.25">
      <c r="A71" s="104">
        <v>32</v>
      </c>
      <c r="B71" s="105"/>
      <c r="C71" s="105"/>
      <c r="D71" s="85" t="s">
        <v>41</v>
      </c>
      <c r="E71" s="133"/>
      <c r="F71" s="92">
        <f>SUM(F72:F75)</f>
        <v>663.61404207313035</v>
      </c>
      <c r="G71" s="92">
        <f>SUM(G72:G75)</f>
        <v>664.01062416998661</v>
      </c>
      <c r="H71" s="11">
        <v>700</v>
      </c>
      <c r="I71" s="11">
        <v>700</v>
      </c>
    </row>
    <row r="72" spans="1:9" x14ac:dyDescent="0.25">
      <c r="A72" s="53">
        <v>3211</v>
      </c>
      <c r="B72" s="51"/>
      <c r="C72" s="52"/>
      <c r="D72" s="54" t="s">
        <v>82</v>
      </c>
      <c r="E72" s="132"/>
      <c r="F72" s="11">
        <f>1000/7.5345</f>
        <v>132.72280841462606</v>
      </c>
      <c r="G72" s="11">
        <f t="shared" ref="G72:G74" si="1">1000/7.53</f>
        <v>132.80212483399734</v>
      </c>
      <c r="H72" s="11"/>
      <c r="I72" s="12"/>
    </row>
    <row r="73" spans="1:9" x14ac:dyDescent="0.25">
      <c r="A73" s="53">
        <v>3221</v>
      </c>
      <c r="B73" s="51"/>
      <c r="C73" s="52"/>
      <c r="D73" s="54" t="s">
        <v>84</v>
      </c>
      <c r="E73" s="132"/>
      <c r="F73" s="11">
        <f>1000/7.5345</f>
        <v>132.72280841462606</v>
      </c>
      <c r="G73" s="11">
        <f t="shared" si="1"/>
        <v>132.80212483399734</v>
      </c>
      <c r="H73" s="11"/>
      <c r="I73" s="12"/>
    </row>
    <row r="74" spans="1:9" x14ac:dyDescent="0.25">
      <c r="A74" s="53">
        <v>3224</v>
      </c>
      <c r="B74" s="51"/>
      <c r="C74" s="52"/>
      <c r="D74" s="67" t="s">
        <v>118</v>
      </c>
      <c r="E74" s="132"/>
      <c r="F74" s="11">
        <f>1000/7.5345</f>
        <v>132.72280841462606</v>
      </c>
      <c r="G74" s="11">
        <f t="shared" si="1"/>
        <v>132.80212483399734</v>
      </c>
      <c r="H74" s="11"/>
      <c r="I74" s="12"/>
    </row>
    <row r="75" spans="1:9" x14ac:dyDescent="0.25">
      <c r="A75" s="53">
        <v>3225</v>
      </c>
      <c r="B75" s="51"/>
      <c r="C75" s="52"/>
      <c r="D75" s="67" t="s">
        <v>87</v>
      </c>
      <c r="E75" s="132"/>
      <c r="F75" s="11">
        <f>2000/7.5345</f>
        <v>265.44561682925212</v>
      </c>
      <c r="G75" s="11">
        <f>2000/7.53</f>
        <v>265.60424966799468</v>
      </c>
      <c r="H75" s="11"/>
      <c r="I75" s="12"/>
    </row>
    <row r="76" spans="1:9" x14ac:dyDescent="0.25">
      <c r="A76" s="163" t="s">
        <v>123</v>
      </c>
      <c r="B76" s="164"/>
      <c r="C76" s="165"/>
      <c r="D76" s="91" t="s">
        <v>61</v>
      </c>
      <c r="E76" s="131">
        <f>SUM(E78:E80)</f>
        <v>2198.8187670051097</v>
      </c>
      <c r="F76" s="92">
        <f>SUM(F78:F83)</f>
        <v>1990.8421262193906</v>
      </c>
      <c r="G76" s="92">
        <f>SUM(G77+G81)</f>
        <v>14750</v>
      </c>
      <c r="H76" s="92">
        <f>SUM(H77+H81)</f>
        <v>14750</v>
      </c>
      <c r="I76" s="92">
        <f>SUM(I77+I81)</f>
        <v>14750</v>
      </c>
    </row>
    <row r="77" spans="1:9" x14ac:dyDescent="0.25">
      <c r="A77" s="83">
        <v>31</v>
      </c>
      <c r="B77" s="94"/>
      <c r="C77" s="95"/>
      <c r="D77" s="85" t="s">
        <v>24</v>
      </c>
      <c r="E77" s="133"/>
      <c r="F77" s="92"/>
      <c r="G77" s="92">
        <f>SUM(G78:G80)</f>
        <v>13250</v>
      </c>
      <c r="H77" s="92">
        <v>13250</v>
      </c>
      <c r="I77" s="107">
        <v>13250</v>
      </c>
    </row>
    <row r="78" spans="1:9" x14ac:dyDescent="0.25">
      <c r="A78" s="86">
        <v>3111</v>
      </c>
      <c r="B78" s="69"/>
      <c r="C78" s="70"/>
      <c r="D78" s="67" t="s">
        <v>67</v>
      </c>
      <c r="E78" s="132">
        <f>13941/7.5345</f>
        <v>1850.2886721083016</v>
      </c>
      <c r="F78" s="11"/>
      <c r="G78" s="11">
        <v>11300</v>
      </c>
      <c r="H78" s="11"/>
      <c r="I78" s="12"/>
    </row>
    <row r="79" spans="1:9" x14ac:dyDescent="0.25">
      <c r="A79" s="86">
        <v>3121</v>
      </c>
      <c r="B79" s="69"/>
      <c r="C79" s="70"/>
      <c r="D79" s="67" t="s">
        <v>68</v>
      </c>
      <c r="E79" s="132"/>
      <c r="F79" s="11"/>
      <c r="G79" s="11">
        <v>0</v>
      </c>
      <c r="H79" s="11"/>
      <c r="I79" s="12"/>
    </row>
    <row r="80" spans="1:9" x14ac:dyDescent="0.25">
      <c r="A80" s="86">
        <v>3212</v>
      </c>
      <c r="B80" s="69"/>
      <c r="C80" s="70"/>
      <c r="D80" s="67" t="s">
        <v>158</v>
      </c>
      <c r="E80" s="132">
        <f>2626/7.5345</f>
        <v>348.53009489680801</v>
      </c>
      <c r="F80" s="11"/>
      <c r="G80" s="11">
        <v>1950</v>
      </c>
      <c r="H80" s="11"/>
      <c r="I80" s="12"/>
    </row>
    <row r="81" spans="1:11" x14ac:dyDescent="0.25">
      <c r="A81" s="83">
        <v>32</v>
      </c>
      <c r="B81" s="81"/>
      <c r="C81" s="82"/>
      <c r="D81" s="85" t="s">
        <v>41</v>
      </c>
      <c r="E81" s="132"/>
      <c r="F81" s="11"/>
      <c r="G81" s="92">
        <f>SUM(G83:G88)</f>
        <v>1500</v>
      </c>
      <c r="H81" s="92">
        <v>1500</v>
      </c>
      <c r="I81" s="107">
        <v>1500</v>
      </c>
    </row>
    <row r="82" spans="1:11" ht="25.5" x14ac:dyDescent="0.25">
      <c r="A82" s="86">
        <v>3241</v>
      </c>
      <c r="B82" s="81"/>
      <c r="C82" s="82"/>
      <c r="D82" s="88" t="s">
        <v>137</v>
      </c>
      <c r="E82" s="132"/>
      <c r="F82" s="11">
        <f>15000/7.5345</f>
        <v>1990.8421262193906</v>
      </c>
      <c r="G82" s="11">
        <v>0</v>
      </c>
      <c r="H82" s="11"/>
      <c r="I82" s="12"/>
    </row>
    <row r="83" spans="1:11" x14ac:dyDescent="0.25">
      <c r="A83" s="86">
        <v>3212</v>
      </c>
      <c r="B83" s="69"/>
      <c r="C83" s="70"/>
      <c r="D83" s="67" t="s">
        <v>70</v>
      </c>
      <c r="E83" s="132"/>
      <c r="F83" s="92"/>
      <c r="G83" s="11">
        <v>1500</v>
      </c>
      <c r="H83" s="11"/>
      <c r="I83" s="12"/>
    </row>
    <row r="84" spans="1:11" x14ac:dyDescent="0.25">
      <c r="A84" s="178" t="s">
        <v>124</v>
      </c>
      <c r="B84" s="179"/>
      <c r="C84" s="180"/>
      <c r="D84" s="49" t="s">
        <v>104</v>
      </c>
      <c r="E84" s="134">
        <f>SUM(E86+E90)</f>
        <v>5188.8088127944793</v>
      </c>
      <c r="F84" s="92">
        <f>SUM(F87:F91)</f>
        <v>9290.596589023824</v>
      </c>
      <c r="G84" s="11"/>
      <c r="H84" s="11"/>
      <c r="I84" s="11"/>
    </row>
    <row r="85" spans="1:11" ht="15" customHeight="1" x14ac:dyDescent="0.25">
      <c r="A85" s="181" t="s">
        <v>101</v>
      </c>
      <c r="B85" s="182"/>
      <c r="C85" s="183"/>
      <c r="D85" s="52" t="s">
        <v>102</v>
      </c>
      <c r="E85" s="132"/>
      <c r="F85" s="11"/>
      <c r="G85" s="11"/>
      <c r="H85" s="11"/>
      <c r="I85" s="12"/>
    </row>
    <row r="86" spans="1:11" ht="15" customHeight="1" x14ac:dyDescent="0.25">
      <c r="A86" s="93">
        <v>31</v>
      </c>
      <c r="B86" s="79"/>
      <c r="C86" s="80"/>
      <c r="D86" s="85" t="s">
        <v>24</v>
      </c>
      <c r="E86" s="133">
        <f>SUM(E87:E89)</f>
        <v>4756.9341031256226</v>
      </c>
      <c r="F86" s="11"/>
      <c r="G86" s="11"/>
      <c r="H86" s="11"/>
      <c r="I86" s="12"/>
    </row>
    <row r="87" spans="1:11" ht="15" customHeight="1" x14ac:dyDescent="0.25">
      <c r="A87" s="53">
        <v>3111</v>
      </c>
      <c r="B87" s="51"/>
      <c r="C87" s="52"/>
      <c r="D87" s="54" t="s">
        <v>67</v>
      </c>
      <c r="E87" s="132">
        <f>27159.75/7.5345</f>
        <v>3604.71829583914</v>
      </c>
      <c r="F87" s="11">
        <f>40000/7.5345</f>
        <v>5308.9123365850419</v>
      </c>
      <c r="G87" s="11"/>
      <c r="H87" s="11"/>
      <c r="I87" s="12"/>
    </row>
    <row r="88" spans="1:11" ht="15" customHeight="1" x14ac:dyDescent="0.25">
      <c r="A88" s="53">
        <v>3121</v>
      </c>
      <c r="B88" s="51"/>
      <c r="C88" s="52"/>
      <c r="D88" s="54" t="s">
        <v>68</v>
      </c>
      <c r="E88" s="132">
        <f>4200/7.5345</f>
        <v>557.43579534142941</v>
      </c>
      <c r="F88" s="11">
        <f>8000/7.5345</f>
        <v>1061.7824673170085</v>
      </c>
      <c r="G88" s="11"/>
      <c r="H88" s="11"/>
      <c r="I88" s="12"/>
    </row>
    <row r="89" spans="1:11" ht="15" customHeight="1" x14ac:dyDescent="0.25">
      <c r="A89" s="53">
        <v>3132</v>
      </c>
      <c r="B89" s="51"/>
      <c r="C89" s="52"/>
      <c r="D89" s="54" t="s">
        <v>103</v>
      </c>
      <c r="E89" s="132">
        <f>4481.37/7.5345</f>
        <v>594.78001194505271</v>
      </c>
      <c r="F89" s="11">
        <f>15000/7.5345</f>
        <v>1990.8421262193906</v>
      </c>
      <c r="G89" s="11"/>
      <c r="H89" s="11"/>
      <c r="I89" s="12"/>
    </row>
    <row r="90" spans="1:11" ht="15" customHeight="1" x14ac:dyDescent="0.25">
      <c r="A90" s="83">
        <v>32</v>
      </c>
      <c r="B90" s="79"/>
      <c r="C90" s="80"/>
      <c r="D90" s="85" t="s">
        <v>41</v>
      </c>
      <c r="E90" s="133">
        <f>SUM(E91)</f>
        <v>431.87470966885655</v>
      </c>
      <c r="F90" s="11"/>
      <c r="G90" s="11"/>
      <c r="H90" s="11"/>
      <c r="I90" s="12"/>
    </row>
    <row r="91" spans="1:11" ht="15" customHeight="1" x14ac:dyDescent="0.25">
      <c r="A91" s="53">
        <v>3212</v>
      </c>
      <c r="B91" s="51"/>
      <c r="C91" s="52"/>
      <c r="D91" s="54" t="s">
        <v>70</v>
      </c>
      <c r="E91" s="132">
        <f>3253.96/7.5345</f>
        <v>431.87470966885655</v>
      </c>
      <c r="F91" s="11">
        <f>7000/7.5345</f>
        <v>929.05965890238235</v>
      </c>
      <c r="G91" s="11"/>
      <c r="H91" s="11"/>
      <c r="I91" s="12"/>
    </row>
    <row r="92" spans="1:11" x14ac:dyDescent="0.25">
      <c r="A92" s="178" t="s">
        <v>107</v>
      </c>
      <c r="B92" s="179"/>
      <c r="C92" s="180"/>
      <c r="D92" s="49" t="s">
        <v>105</v>
      </c>
      <c r="E92" s="132"/>
      <c r="F92" s="92">
        <f>SUM(F95:F99)</f>
        <v>5972.5263786581718</v>
      </c>
      <c r="G92" s="121">
        <f>SUM(G94+G99)</f>
        <v>14454.169986719788</v>
      </c>
      <c r="H92" s="11"/>
      <c r="I92" s="11"/>
      <c r="K92">
        <v>14454</v>
      </c>
    </row>
    <row r="93" spans="1:11" ht="15" customHeight="1" x14ac:dyDescent="0.25">
      <c r="A93" s="181" t="s">
        <v>101</v>
      </c>
      <c r="B93" s="182"/>
      <c r="C93" s="183"/>
      <c r="D93" s="52" t="s">
        <v>102</v>
      </c>
      <c r="E93" s="63"/>
      <c r="F93" s="11"/>
      <c r="G93" s="11"/>
      <c r="H93" s="11"/>
      <c r="I93" s="12"/>
      <c r="K93">
        <v>10140</v>
      </c>
    </row>
    <row r="94" spans="1:11" ht="15" customHeight="1" x14ac:dyDescent="0.25">
      <c r="A94" s="83">
        <v>31</v>
      </c>
      <c r="B94" s="59"/>
      <c r="C94" s="60"/>
      <c r="D94" s="85" t="s">
        <v>24</v>
      </c>
      <c r="E94" s="63"/>
      <c r="G94" s="92">
        <f>SUM(G95:G97)</f>
        <v>13324.169986719788</v>
      </c>
      <c r="H94" s="11"/>
      <c r="I94" s="12"/>
      <c r="K94">
        <v>3320</v>
      </c>
    </row>
    <row r="95" spans="1:11" ht="15" customHeight="1" x14ac:dyDescent="0.25">
      <c r="A95" s="53">
        <v>3111</v>
      </c>
      <c r="B95" s="51"/>
      <c r="C95" s="52"/>
      <c r="D95" s="54" t="s">
        <v>67</v>
      </c>
      <c r="E95" s="63"/>
      <c r="F95" s="11">
        <f>30000/7.5345</f>
        <v>3981.6842524387812</v>
      </c>
      <c r="G95" s="11">
        <f>80000/7.53</f>
        <v>10624.169986719788</v>
      </c>
      <c r="H95" s="11"/>
      <c r="I95" s="12"/>
      <c r="K95">
        <v>7968</v>
      </c>
    </row>
    <row r="96" spans="1:11" ht="15" customHeight="1" x14ac:dyDescent="0.25">
      <c r="A96" s="53">
        <v>3121</v>
      </c>
      <c r="B96" s="51"/>
      <c r="C96" s="52"/>
      <c r="D96" s="54" t="s">
        <v>68</v>
      </c>
      <c r="E96" s="63"/>
      <c r="F96" s="11">
        <f>6000/7.5345</f>
        <v>796.33685048775624</v>
      </c>
      <c r="G96" s="11">
        <v>800</v>
      </c>
      <c r="H96" s="11"/>
      <c r="I96" s="12"/>
      <c r="K96">
        <v>21248</v>
      </c>
    </row>
    <row r="97" spans="1:11" ht="15" customHeight="1" x14ac:dyDescent="0.25">
      <c r="A97" s="53">
        <v>3132</v>
      </c>
      <c r="B97" s="51"/>
      <c r="C97" s="52"/>
      <c r="D97" s="54" t="s">
        <v>103</v>
      </c>
      <c r="E97" s="63"/>
      <c r="F97" s="11">
        <f>5000/7.5345</f>
        <v>663.61404207313024</v>
      </c>
      <c r="G97" s="11">
        <v>1900</v>
      </c>
      <c r="H97" s="11"/>
      <c r="I97" s="12"/>
      <c r="K97">
        <v>66</v>
      </c>
    </row>
    <row r="98" spans="1:11" ht="15" customHeight="1" x14ac:dyDescent="0.25">
      <c r="A98" s="83">
        <v>32</v>
      </c>
      <c r="B98" s="79"/>
      <c r="C98" s="80"/>
      <c r="D98" s="85" t="s">
        <v>41</v>
      </c>
      <c r="E98" s="63"/>
      <c r="F98" s="11"/>
      <c r="G98" s="92">
        <f>SUM(G99)</f>
        <v>1130</v>
      </c>
      <c r="H98" s="11"/>
      <c r="I98" s="12"/>
    </row>
    <row r="99" spans="1:11" ht="15" customHeight="1" x14ac:dyDescent="0.25">
      <c r="A99" s="53">
        <v>3212</v>
      </c>
      <c r="B99" s="51"/>
      <c r="C99" s="52"/>
      <c r="D99" s="54" t="s">
        <v>70</v>
      </c>
      <c r="E99" s="63"/>
      <c r="F99" s="11">
        <f>4000/7.5345</f>
        <v>530.89123365850423</v>
      </c>
      <c r="G99" s="11">
        <v>1130</v>
      </c>
      <c r="H99" s="11"/>
      <c r="I99" s="12"/>
    </row>
    <row r="100" spans="1:11" x14ac:dyDescent="0.25">
      <c r="A100" s="178" t="s">
        <v>108</v>
      </c>
      <c r="B100" s="179"/>
      <c r="C100" s="180"/>
      <c r="D100" s="49" t="s">
        <v>106</v>
      </c>
      <c r="E100" s="63"/>
      <c r="F100" s="92">
        <f>SUM(F101:F107)</f>
        <v>0</v>
      </c>
      <c r="G100" s="121">
        <f>SUM(G102+G106)</f>
        <v>10140.106241699867</v>
      </c>
      <c r="H100" s="92">
        <f>SUM(H102+H106)</f>
        <v>10140</v>
      </c>
      <c r="I100" s="11"/>
    </row>
    <row r="101" spans="1:11" ht="15" customHeight="1" x14ac:dyDescent="0.25">
      <c r="A101" s="181" t="s">
        <v>101</v>
      </c>
      <c r="B101" s="182"/>
      <c r="C101" s="183"/>
      <c r="D101" s="52" t="s">
        <v>102</v>
      </c>
      <c r="E101" s="63"/>
      <c r="F101" s="11"/>
      <c r="G101" s="11"/>
      <c r="H101" s="11"/>
      <c r="I101" s="12"/>
    </row>
    <row r="102" spans="1:11" ht="15" customHeight="1" x14ac:dyDescent="0.25">
      <c r="A102" s="83">
        <v>31</v>
      </c>
      <c r="B102" s="87"/>
      <c r="C102" s="88"/>
      <c r="D102" s="85" t="s">
        <v>24</v>
      </c>
      <c r="E102" s="63"/>
      <c r="F102" s="11"/>
      <c r="G102" s="92">
        <f>SUM(G103:G105)</f>
        <v>9340.1062416998666</v>
      </c>
      <c r="H102" s="92">
        <v>9340</v>
      </c>
      <c r="I102" s="12"/>
    </row>
    <row r="103" spans="1:11" ht="15" customHeight="1" x14ac:dyDescent="0.25">
      <c r="A103" s="53">
        <v>3111</v>
      </c>
      <c r="B103" s="51"/>
      <c r="C103" s="52"/>
      <c r="D103" s="54" t="s">
        <v>67</v>
      </c>
      <c r="E103" s="63"/>
      <c r="F103" s="11"/>
      <c r="G103" s="11">
        <f>50000/7.53</f>
        <v>6640.1062416998666</v>
      </c>
      <c r="H103" s="11"/>
      <c r="I103" s="12"/>
    </row>
    <row r="104" spans="1:11" ht="15" customHeight="1" x14ac:dyDescent="0.25">
      <c r="A104" s="53">
        <v>3121</v>
      </c>
      <c r="B104" s="51"/>
      <c r="C104" s="52"/>
      <c r="D104" s="54" t="s">
        <v>68</v>
      </c>
      <c r="E104" s="63"/>
      <c r="F104" s="11"/>
      <c r="G104" s="11">
        <v>1350</v>
      </c>
      <c r="H104" s="11"/>
      <c r="I104" s="12"/>
    </row>
    <row r="105" spans="1:11" ht="15" customHeight="1" x14ac:dyDescent="0.25">
      <c r="A105" s="53">
        <v>3132</v>
      </c>
      <c r="B105" s="51"/>
      <c r="C105" s="52"/>
      <c r="D105" s="54" t="s">
        <v>103</v>
      </c>
      <c r="E105" s="63"/>
      <c r="F105" s="11"/>
      <c r="G105" s="11">
        <v>1350</v>
      </c>
      <c r="H105" s="11"/>
      <c r="I105" s="12"/>
    </row>
    <row r="106" spans="1:11" ht="15" customHeight="1" x14ac:dyDescent="0.25">
      <c r="A106" s="83">
        <v>32</v>
      </c>
      <c r="B106" s="79"/>
      <c r="C106" s="80"/>
      <c r="D106" s="85" t="s">
        <v>41</v>
      </c>
      <c r="E106" s="63"/>
      <c r="F106" s="11"/>
      <c r="G106" s="92">
        <f>SUM(G107)</f>
        <v>800</v>
      </c>
      <c r="H106" s="92">
        <v>800</v>
      </c>
      <c r="I106" s="12"/>
    </row>
    <row r="107" spans="1:11" ht="15" customHeight="1" x14ac:dyDescent="0.25">
      <c r="A107" s="53">
        <v>3212</v>
      </c>
      <c r="B107" s="51"/>
      <c r="C107" s="52"/>
      <c r="D107" s="54" t="s">
        <v>70</v>
      </c>
      <c r="E107" s="63"/>
      <c r="F107" s="11"/>
      <c r="G107" s="11">
        <v>800</v>
      </c>
      <c r="H107" s="11"/>
      <c r="I107" s="12"/>
    </row>
    <row r="108" spans="1:11" x14ac:dyDescent="0.25">
      <c r="A108" s="178" t="s">
        <v>109</v>
      </c>
      <c r="B108" s="179"/>
      <c r="C108" s="180"/>
      <c r="D108" s="85" t="s">
        <v>110</v>
      </c>
      <c r="E108" s="131">
        <f>SUM(E110)</f>
        <v>2158.1193178047647</v>
      </c>
      <c r="F108" s="92">
        <f>SUM(F110)</f>
        <v>3318.0702103656513</v>
      </c>
      <c r="G108" s="121">
        <f>SUM(G110)</f>
        <v>3320</v>
      </c>
      <c r="H108" s="92">
        <v>3320</v>
      </c>
      <c r="I108" s="107">
        <v>3320</v>
      </c>
    </row>
    <row r="109" spans="1:11" ht="15" customHeight="1" x14ac:dyDescent="0.25">
      <c r="A109" s="163" t="s">
        <v>101</v>
      </c>
      <c r="B109" s="164"/>
      <c r="C109" s="165"/>
      <c r="D109" s="95" t="s">
        <v>102</v>
      </c>
      <c r="E109" s="132"/>
      <c r="F109" s="11"/>
      <c r="G109" s="11"/>
      <c r="H109" s="11"/>
      <c r="I109" s="12"/>
    </row>
    <row r="110" spans="1:11" ht="15" customHeight="1" x14ac:dyDescent="0.25">
      <c r="A110" s="83">
        <v>32</v>
      </c>
      <c r="B110" s="61"/>
      <c r="C110" s="62"/>
      <c r="D110" s="85" t="s">
        <v>41</v>
      </c>
      <c r="E110" s="131">
        <f>E111</f>
        <v>2158.1193178047647</v>
      </c>
      <c r="F110" s="92">
        <f>F111</f>
        <v>3318.0702103656513</v>
      </c>
      <c r="G110" s="92">
        <v>3320</v>
      </c>
      <c r="H110" s="92">
        <v>3320</v>
      </c>
      <c r="I110" s="107">
        <v>3320</v>
      </c>
    </row>
    <row r="111" spans="1:11" ht="15" customHeight="1" x14ac:dyDescent="0.25">
      <c r="A111" s="53">
        <v>3222</v>
      </c>
      <c r="B111" s="51"/>
      <c r="C111" s="52"/>
      <c r="D111" s="54" t="s">
        <v>86</v>
      </c>
      <c r="E111" s="132">
        <f>16260.35/7.5345</f>
        <v>2158.1193178047647</v>
      </c>
      <c r="F111" s="11">
        <f>25000/7.5345</f>
        <v>3318.0702103656513</v>
      </c>
      <c r="G111" s="11">
        <f>25000/7.53</f>
        <v>3320.0531208499333</v>
      </c>
      <c r="H111" s="11"/>
      <c r="I111" s="12"/>
    </row>
    <row r="112" spans="1:11" ht="15" customHeight="1" x14ac:dyDescent="0.25">
      <c r="A112" s="178" t="s">
        <v>160</v>
      </c>
      <c r="B112" s="179"/>
      <c r="C112" s="180"/>
      <c r="D112" s="127" t="s">
        <v>159</v>
      </c>
      <c r="E112" s="131">
        <f>SUM(E115)</f>
        <v>4192.4042736744304</v>
      </c>
      <c r="F112" s="11"/>
      <c r="G112" s="11"/>
      <c r="H112" s="11"/>
      <c r="I112" s="12"/>
    </row>
    <row r="113" spans="1:9" ht="15" customHeight="1" x14ac:dyDescent="0.25">
      <c r="A113" s="163" t="s">
        <v>101</v>
      </c>
      <c r="B113" s="164"/>
      <c r="C113" s="165"/>
      <c r="D113" s="125" t="s">
        <v>102</v>
      </c>
      <c r="E113" s="135"/>
      <c r="F113" s="11"/>
      <c r="G113" s="11"/>
      <c r="H113" s="11"/>
      <c r="I113" s="12"/>
    </row>
    <row r="114" spans="1:9" ht="15" customHeight="1" x14ac:dyDescent="0.25">
      <c r="A114" s="126">
        <v>32</v>
      </c>
      <c r="B114" s="123"/>
      <c r="C114" s="124"/>
      <c r="D114" s="127" t="s">
        <v>41</v>
      </c>
      <c r="E114" s="131">
        <f>E115</f>
        <v>4192.4042736744304</v>
      </c>
      <c r="F114" s="11"/>
      <c r="G114" s="11"/>
      <c r="H114" s="11"/>
      <c r="I114" s="12"/>
    </row>
    <row r="115" spans="1:9" ht="15" customHeight="1" x14ac:dyDescent="0.25">
      <c r="A115" s="122">
        <v>3299</v>
      </c>
      <c r="B115" s="128"/>
      <c r="C115" s="129"/>
      <c r="D115" s="124" t="s">
        <v>75</v>
      </c>
      <c r="E115" s="132">
        <f>31587.67/7.5345</f>
        <v>4192.4042736744304</v>
      </c>
      <c r="F115" s="11"/>
      <c r="G115" s="11"/>
      <c r="H115" s="11"/>
      <c r="I115" s="12"/>
    </row>
    <row r="116" spans="1:9" ht="15" customHeight="1" x14ac:dyDescent="0.25">
      <c r="A116" s="178" t="s">
        <v>164</v>
      </c>
      <c r="B116" s="179"/>
      <c r="C116" s="180"/>
      <c r="D116" s="127" t="s">
        <v>111</v>
      </c>
      <c r="E116" s="131">
        <f>SUM(E119)</f>
        <v>2961.5249850686841</v>
      </c>
      <c r="F116" s="92">
        <f>SUM(F118)</f>
        <v>7963.3685048775624</v>
      </c>
      <c r="G116" s="92"/>
      <c r="H116" s="11"/>
      <c r="I116" s="12"/>
    </row>
    <row r="117" spans="1:9" ht="15" customHeight="1" x14ac:dyDescent="0.25">
      <c r="A117" s="163" t="s">
        <v>101</v>
      </c>
      <c r="B117" s="164"/>
      <c r="C117" s="165"/>
      <c r="D117" s="95" t="s">
        <v>102</v>
      </c>
      <c r="E117" s="132"/>
      <c r="F117" s="11"/>
      <c r="G117" s="11"/>
      <c r="H117" s="11"/>
      <c r="I117" s="12"/>
    </row>
    <row r="118" spans="1:9" ht="15" customHeight="1" x14ac:dyDescent="0.25">
      <c r="A118" s="83">
        <v>32</v>
      </c>
      <c r="B118" s="87"/>
      <c r="C118" s="88"/>
      <c r="D118" s="85" t="s">
        <v>41</v>
      </c>
      <c r="E118" s="133">
        <v>22313.61</v>
      </c>
      <c r="F118" s="92">
        <f>F119</f>
        <v>7963.3685048775624</v>
      </c>
      <c r="G118" s="11"/>
      <c r="H118" s="11"/>
      <c r="I118" s="12"/>
    </row>
    <row r="119" spans="1:9" ht="15" customHeight="1" x14ac:dyDescent="0.25">
      <c r="A119" s="53">
        <v>3299</v>
      </c>
      <c r="B119" s="51"/>
      <c r="C119" s="52"/>
      <c r="D119" s="54" t="s">
        <v>75</v>
      </c>
      <c r="E119" s="132">
        <f>22313.61/7.5345</f>
        <v>2961.5249850686841</v>
      </c>
      <c r="F119" s="11">
        <f>60000/7.5345</f>
        <v>7963.3685048775624</v>
      </c>
      <c r="G119" s="11"/>
      <c r="H119" s="11"/>
      <c r="I119" s="12"/>
    </row>
    <row r="120" spans="1:9" ht="15" customHeight="1" x14ac:dyDescent="0.25">
      <c r="A120" s="178" t="s">
        <v>165</v>
      </c>
      <c r="B120" s="179"/>
      <c r="C120" s="180"/>
      <c r="D120" s="78" t="s">
        <v>127</v>
      </c>
      <c r="E120" s="63"/>
      <c r="F120" s="92"/>
      <c r="G120" s="121">
        <f>SUM(G122)</f>
        <v>7968</v>
      </c>
      <c r="H120" s="11"/>
      <c r="I120" s="12"/>
    </row>
    <row r="121" spans="1:9" ht="15" customHeight="1" x14ac:dyDescent="0.25">
      <c r="A121" s="163" t="s">
        <v>101</v>
      </c>
      <c r="B121" s="164"/>
      <c r="C121" s="165"/>
      <c r="D121" s="95" t="s">
        <v>102</v>
      </c>
      <c r="E121" s="63"/>
      <c r="F121" s="11"/>
      <c r="G121" s="11"/>
      <c r="H121" s="11"/>
      <c r="I121" s="12"/>
    </row>
    <row r="122" spans="1:9" ht="15" customHeight="1" x14ac:dyDescent="0.25">
      <c r="A122" s="97">
        <v>32</v>
      </c>
      <c r="B122" s="98"/>
      <c r="C122" s="99"/>
      <c r="D122" s="100" t="s">
        <v>41</v>
      </c>
      <c r="E122" s="63"/>
      <c r="F122" s="11"/>
      <c r="G122" s="92">
        <v>7968</v>
      </c>
      <c r="H122" s="11"/>
      <c r="I122" s="12"/>
    </row>
    <row r="123" spans="1:9" ht="15" customHeight="1" x14ac:dyDescent="0.25">
      <c r="A123" s="76">
        <v>3299</v>
      </c>
      <c r="B123" s="71"/>
      <c r="C123" s="72"/>
      <c r="D123" s="77" t="s">
        <v>75</v>
      </c>
      <c r="E123" s="63"/>
      <c r="F123" s="11"/>
      <c r="G123" s="11">
        <f>60000/7.53</f>
        <v>7968.1274900398403</v>
      </c>
      <c r="H123" s="11"/>
      <c r="I123" s="12"/>
    </row>
    <row r="124" spans="1:9" ht="15" customHeight="1" x14ac:dyDescent="0.25">
      <c r="A124" s="89" t="s">
        <v>128</v>
      </c>
      <c r="B124" s="90"/>
      <c r="C124" s="91"/>
      <c r="D124" s="78" t="s">
        <v>129</v>
      </c>
      <c r="E124" s="92">
        <f>SUM(E127)</f>
        <v>3808.8844647952751</v>
      </c>
      <c r="F124" s="92">
        <f>SUM(F126)</f>
        <v>14599.508925608863</v>
      </c>
      <c r="G124" s="121">
        <f>SUM(G126)</f>
        <v>21248.339973439575</v>
      </c>
      <c r="H124" s="92">
        <v>20000</v>
      </c>
      <c r="I124" s="107">
        <v>20000</v>
      </c>
    </row>
    <row r="125" spans="1:9" ht="15" customHeight="1" x14ac:dyDescent="0.25">
      <c r="A125" s="163" t="s">
        <v>101</v>
      </c>
      <c r="B125" s="164"/>
      <c r="C125" s="165"/>
      <c r="D125" s="95" t="s">
        <v>102</v>
      </c>
      <c r="E125" s="63"/>
      <c r="F125" s="11"/>
      <c r="G125" s="11"/>
      <c r="H125" s="11"/>
      <c r="I125" s="12"/>
    </row>
    <row r="126" spans="1:9" ht="15" customHeight="1" x14ac:dyDescent="0.25">
      <c r="A126" s="187">
        <v>32</v>
      </c>
      <c r="B126" s="188"/>
      <c r="C126" s="189"/>
      <c r="D126" s="85" t="s">
        <v>41</v>
      </c>
      <c r="E126" s="63"/>
      <c r="F126" s="92">
        <f>SUM(F127:F131)</f>
        <v>14599.508925608863</v>
      </c>
      <c r="G126" s="92">
        <f>SUM(G127:G131)</f>
        <v>21248.339973439575</v>
      </c>
      <c r="H126" s="92">
        <v>20000</v>
      </c>
      <c r="I126" s="107">
        <v>20000</v>
      </c>
    </row>
    <row r="127" spans="1:9" ht="15" customHeight="1" x14ac:dyDescent="0.25">
      <c r="A127" s="184">
        <v>3211</v>
      </c>
      <c r="B127" s="185"/>
      <c r="C127" s="186"/>
      <c r="D127" s="77" t="s">
        <v>82</v>
      </c>
      <c r="E127" s="92">
        <f>SUM(E128:E132)</f>
        <v>3808.8844647952751</v>
      </c>
      <c r="F127" s="11">
        <f>90000/7.5345</f>
        <v>11945.052757316344</v>
      </c>
      <c r="G127" s="11">
        <f>125000/7.53</f>
        <v>16600.265604249667</v>
      </c>
      <c r="H127" s="11"/>
      <c r="I127" s="12"/>
    </row>
    <row r="128" spans="1:9" ht="15" customHeight="1" x14ac:dyDescent="0.25">
      <c r="A128" s="184">
        <v>3221</v>
      </c>
      <c r="B128" s="185"/>
      <c r="C128" s="186"/>
      <c r="D128" s="77" t="s">
        <v>84</v>
      </c>
      <c r="E128" s="10">
        <f>5378.27/7.5345</f>
        <v>713.81909881213085</v>
      </c>
      <c r="F128" s="11">
        <f>5000/7.5345</f>
        <v>663.61404207313024</v>
      </c>
      <c r="G128" s="11">
        <f>5000/7.53</f>
        <v>664.01062416998673</v>
      </c>
      <c r="H128" s="11"/>
      <c r="I128" s="12"/>
    </row>
    <row r="129" spans="1:9" ht="15" customHeight="1" x14ac:dyDescent="0.25">
      <c r="A129" s="166">
        <v>3239</v>
      </c>
      <c r="B129" s="167"/>
      <c r="C129" s="168"/>
      <c r="D129" s="77" t="s">
        <v>95</v>
      </c>
      <c r="E129" s="10">
        <f>6525/7.5345</f>
        <v>866.016324905435</v>
      </c>
      <c r="F129" s="11">
        <f>5000/7.5345</f>
        <v>663.61404207313024</v>
      </c>
      <c r="G129" s="11">
        <f>5000/7.53</f>
        <v>664.01062416998673</v>
      </c>
      <c r="H129" s="11"/>
      <c r="I129" s="12"/>
    </row>
    <row r="130" spans="1:9" ht="15" customHeight="1" x14ac:dyDescent="0.25">
      <c r="A130" s="166">
        <v>3293</v>
      </c>
      <c r="B130" s="167"/>
      <c r="C130" s="168"/>
      <c r="D130" s="77" t="s">
        <v>97</v>
      </c>
      <c r="E130" s="10">
        <f>5915.02/7.5345</f>
        <v>785.05806622868147</v>
      </c>
      <c r="F130" s="11">
        <f>10000/7.5345</f>
        <v>1327.2280841462605</v>
      </c>
      <c r="G130" s="11">
        <f>15000/7.53</f>
        <v>1992.0318725099601</v>
      </c>
      <c r="H130" s="11"/>
      <c r="I130" s="12"/>
    </row>
    <row r="131" spans="1:9" ht="15" customHeight="1" x14ac:dyDescent="0.25">
      <c r="A131" s="166">
        <v>3299</v>
      </c>
      <c r="B131" s="167"/>
      <c r="C131" s="168"/>
      <c r="D131" s="77" t="s">
        <v>75</v>
      </c>
      <c r="E131" s="10">
        <f>10879.75/7.5345</f>
        <v>1443.9909748490277</v>
      </c>
      <c r="F131" s="11"/>
      <c r="G131" s="11">
        <f>10000/7.53</f>
        <v>1328.0212483399735</v>
      </c>
      <c r="H131" s="11"/>
      <c r="I131" s="12"/>
    </row>
    <row r="132" spans="1:9" ht="15" customHeight="1" x14ac:dyDescent="0.25">
      <c r="A132" s="166"/>
      <c r="B132" s="167"/>
      <c r="C132" s="168"/>
      <c r="D132" s="78" t="s">
        <v>126</v>
      </c>
      <c r="E132" s="63"/>
      <c r="F132" s="11"/>
      <c r="G132" s="121">
        <f>SUM(G135:G135)</f>
        <v>66.40106241699867</v>
      </c>
      <c r="H132" s="11"/>
      <c r="I132" s="12"/>
    </row>
    <row r="133" spans="1:9" ht="15" customHeight="1" x14ac:dyDescent="0.25">
      <c r="A133" s="163" t="s">
        <v>101</v>
      </c>
      <c r="B133" s="164"/>
      <c r="C133" s="165"/>
      <c r="D133" s="95" t="s">
        <v>102</v>
      </c>
      <c r="E133" s="63"/>
      <c r="F133" s="11"/>
      <c r="H133" s="11"/>
      <c r="I133" s="12"/>
    </row>
    <row r="134" spans="1:9" ht="15" customHeight="1" x14ac:dyDescent="0.25">
      <c r="A134" s="187">
        <v>32</v>
      </c>
      <c r="B134" s="188"/>
      <c r="C134" s="189"/>
      <c r="D134" s="113" t="s">
        <v>41</v>
      </c>
      <c r="E134" s="63"/>
      <c r="F134" s="11"/>
      <c r="G134" s="105">
        <v>66</v>
      </c>
      <c r="H134" s="11"/>
      <c r="I134" s="12"/>
    </row>
    <row r="135" spans="1:9" ht="15" customHeight="1" x14ac:dyDescent="0.25">
      <c r="A135" s="166">
        <v>3211</v>
      </c>
      <c r="B135" s="167"/>
      <c r="C135" s="168"/>
      <c r="D135" s="77" t="s">
        <v>82</v>
      </c>
      <c r="E135" s="63"/>
      <c r="F135" s="11"/>
      <c r="G135" s="11">
        <f>500/7.53</f>
        <v>66.40106241699867</v>
      </c>
      <c r="H135" s="11"/>
      <c r="I135" s="12"/>
    </row>
    <row r="136" spans="1:9" x14ac:dyDescent="0.25">
      <c r="A136" s="172" t="s">
        <v>46</v>
      </c>
      <c r="B136" s="173"/>
      <c r="C136" s="174"/>
      <c r="D136" s="49" t="s">
        <v>47</v>
      </c>
      <c r="E136" s="63"/>
      <c r="F136" s="11"/>
      <c r="G136" s="11"/>
      <c r="H136" s="11"/>
      <c r="I136" s="11"/>
    </row>
    <row r="137" spans="1:9" x14ac:dyDescent="0.25">
      <c r="A137" s="172" t="s">
        <v>125</v>
      </c>
      <c r="B137" s="173"/>
      <c r="C137" s="174"/>
      <c r="D137" s="49" t="s">
        <v>112</v>
      </c>
      <c r="E137" s="92">
        <f>E138+E143</f>
        <v>18988.892428163777</v>
      </c>
      <c r="F137" s="92">
        <f>F138+F143</f>
        <v>27208.175724998342</v>
      </c>
      <c r="G137" s="92">
        <f>G138+G146</f>
        <v>68459.495351925623</v>
      </c>
      <c r="H137" s="92">
        <f>H140+H144</f>
        <v>22664</v>
      </c>
      <c r="I137" s="107">
        <v>22000</v>
      </c>
    </row>
    <row r="138" spans="1:9" x14ac:dyDescent="0.25">
      <c r="A138" s="163" t="s">
        <v>71</v>
      </c>
      <c r="B138" s="164"/>
      <c r="C138" s="165"/>
      <c r="D138" s="95" t="s">
        <v>79</v>
      </c>
      <c r="E138" s="131">
        <f>SUM(E141:E142)</f>
        <v>18988.892428163777</v>
      </c>
      <c r="F138" s="92">
        <f>SUM(F141:F142)</f>
        <v>26544.56168292521</v>
      </c>
      <c r="G138" s="92">
        <f>160000/7.53</f>
        <v>21248.339973439575</v>
      </c>
      <c r="H138" s="11"/>
      <c r="I138" s="12"/>
    </row>
    <row r="139" spans="1:9" ht="25.5" x14ac:dyDescent="0.25">
      <c r="A139" s="169">
        <v>4</v>
      </c>
      <c r="B139" s="170"/>
      <c r="C139" s="171"/>
      <c r="D139" s="54" t="s">
        <v>25</v>
      </c>
      <c r="E139" s="132"/>
      <c r="F139" s="11"/>
      <c r="G139" s="11"/>
      <c r="H139" s="11"/>
      <c r="I139" s="12"/>
    </row>
    <row r="140" spans="1:9" ht="25.5" x14ac:dyDescent="0.25">
      <c r="A140" s="175">
        <v>42</v>
      </c>
      <c r="B140" s="176"/>
      <c r="C140" s="177"/>
      <c r="D140" s="85" t="s">
        <v>63</v>
      </c>
      <c r="E140" s="131">
        <f>E142</f>
        <v>18988.892428163777</v>
      </c>
      <c r="F140" s="92">
        <f>200000/7.53</f>
        <v>26560.424966799466</v>
      </c>
      <c r="G140" s="92">
        <f>160000/7.53</f>
        <v>21248.339973439575</v>
      </c>
      <c r="H140" s="92">
        <v>22000</v>
      </c>
      <c r="I140" s="107">
        <v>22000</v>
      </c>
    </row>
    <row r="141" spans="1:9" x14ac:dyDescent="0.25">
      <c r="A141" s="58">
        <v>4221</v>
      </c>
      <c r="B141" s="59"/>
      <c r="C141" s="60"/>
      <c r="D141" s="60" t="s">
        <v>114</v>
      </c>
      <c r="E141" s="132"/>
      <c r="F141" s="11"/>
      <c r="G141" s="11"/>
      <c r="H141" s="11"/>
      <c r="I141" s="12"/>
    </row>
    <row r="142" spans="1:9" x14ac:dyDescent="0.25">
      <c r="A142" s="58">
        <v>4241</v>
      </c>
      <c r="B142" s="59"/>
      <c r="C142" s="60"/>
      <c r="D142" s="60" t="s">
        <v>113</v>
      </c>
      <c r="E142" s="132">
        <f>143071.81/7.5345</f>
        <v>18988.892428163777</v>
      </c>
      <c r="F142" s="11">
        <f>200000/7.5345</f>
        <v>26544.56168292521</v>
      </c>
      <c r="G142" s="11">
        <f>160000/7.53</f>
        <v>21248.339973439575</v>
      </c>
      <c r="H142" s="11"/>
      <c r="I142" s="12"/>
    </row>
    <row r="143" spans="1:9" ht="25.5" x14ac:dyDescent="0.25">
      <c r="A143" s="163" t="s">
        <v>80</v>
      </c>
      <c r="B143" s="164"/>
      <c r="C143" s="165"/>
      <c r="D143" s="95" t="s">
        <v>81</v>
      </c>
      <c r="E143" s="96"/>
      <c r="F143" s="92">
        <f>SUM(F145:F150)</f>
        <v>663.61404207313024</v>
      </c>
      <c r="G143" s="92"/>
      <c r="H143" s="92">
        <v>664</v>
      </c>
      <c r="I143" s="92"/>
    </row>
    <row r="144" spans="1:9" ht="25.5" x14ac:dyDescent="0.25">
      <c r="A144" s="83">
        <v>42</v>
      </c>
      <c r="B144" s="84"/>
      <c r="C144" s="85"/>
      <c r="D144" s="85" t="s">
        <v>63</v>
      </c>
      <c r="E144" s="96"/>
      <c r="F144" s="92"/>
      <c r="G144" s="92"/>
      <c r="H144" s="92">
        <v>664</v>
      </c>
      <c r="I144" s="12"/>
    </row>
    <row r="145" spans="1:9" x14ac:dyDescent="0.25">
      <c r="A145" s="58">
        <v>4241</v>
      </c>
      <c r="B145" s="59"/>
      <c r="C145" s="60"/>
      <c r="D145" s="60" t="s">
        <v>113</v>
      </c>
      <c r="E145" s="63"/>
      <c r="F145" s="11">
        <f>5000/7.5345</f>
        <v>663.61404207313024</v>
      </c>
      <c r="G145" s="11"/>
      <c r="H145" s="11">
        <v>664</v>
      </c>
      <c r="I145" s="12"/>
    </row>
    <row r="146" spans="1:9" x14ac:dyDescent="0.25">
      <c r="A146" s="181"/>
      <c r="B146" s="182"/>
      <c r="C146" s="183"/>
      <c r="D146" s="91" t="s">
        <v>131</v>
      </c>
      <c r="E146" s="63"/>
      <c r="F146" s="92">
        <f>SUM(F149:F153)</f>
        <v>0</v>
      </c>
      <c r="G146" s="92">
        <f>G149</f>
        <v>47211.155378486052</v>
      </c>
      <c r="H146" s="11"/>
      <c r="I146" s="12"/>
    </row>
    <row r="147" spans="1:9" ht="14.45" customHeight="1" x14ac:dyDescent="0.25">
      <c r="A147" s="163" t="s">
        <v>101</v>
      </c>
      <c r="B147" s="164"/>
      <c r="C147" s="165"/>
      <c r="D147" s="95" t="s">
        <v>102</v>
      </c>
      <c r="E147" s="96"/>
      <c r="F147" s="92">
        <v>0</v>
      </c>
      <c r="G147" s="92">
        <f>G149</f>
        <v>47211.155378486052</v>
      </c>
      <c r="H147" s="11"/>
      <c r="I147" s="12"/>
    </row>
    <row r="148" spans="1:9" ht="25.5" x14ac:dyDescent="0.25">
      <c r="A148" s="58">
        <v>42</v>
      </c>
      <c r="B148" s="59"/>
      <c r="C148" s="60"/>
      <c r="D148" s="60" t="s">
        <v>63</v>
      </c>
      <c r="E148" s="63"/>
      <c r="F148" s="11"/>
      <c r="G148" s="11"/>
      <c r="H148" s="11"/>
      <c r="I148" s="12"/>
    </row>
    <row r="149" spans="1:9" x14ac:dyDescent="0.25">
      <c r="A149" s="58">
        <v>4221</v>
      </c>
      <c r="B149" s="59"/>
      <c r="C149" s="60"/>
      <c r="D149" s="60" t="s">
        <v>114</v>
      </c>
      <c r="E149" s="63"/>
      <c r="F149" s="11"/>
      <c r="G149" s="11">
        <f>355500/7.53</f>
        <v>47211.155378486052</v>
      </c>
      <c r="H149" s="11"/>
      <c r="I149" s="12"/>
    </row>
  </sheetData>
  <mergeCells count="70">
    <mergeCell ref="A113:C113"/>
    <mergeCell ref="A112:C112"/>
    <mergeCell ref="A32:C32"/>
    <mergeCell ref="A33:C33"/>
    <mergeCell ref="A34:C34"/>
    <mergeCell ref="A36:C36"/>
    <mergeCell ref="A30:C30"/>
    <mergeCell ref="A27:C27"/>
    <mergeCell ref="A28:C28"/>
    <mergeCell ref="A12:C12"/>
    <mergeCell ref="A13:C13"/>
    <mergeCell ref="A14:C14"/>
    <mergeCell ref="A15:C15"/>
    <mergeCell ref="A21:C21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  <mergeCell ref="A1:I1"/>
    <mergeCell ref="A3:I3"/>
    <mergeCell ref="A5:C5"/>
    <mergeCell ref="A6:C6"/>
    <mergeCell ref="A8:C8"/>
    <mergeCell ref="A7:C7"/>
    <mergeCell ref="A29:C29"/>
    <mergeCell ref="A35:C35"/>
    <mergeCell ref="A61:C61"/>
    <mergeCell ref="A132:C132"/>
    <mergeCell ref="A92:C92"/>
    <mergeCell ref="A65:C65"/>
    <mergeCell ref="A76:C76"/>
    <mergeCell ref="A100:C100"/>
    <mergeCell ref="A101:C101"/>
    <mergeCell ref="A108:C108"/>
    <mergeCell ref="A93:C93"/>
    <mergeCell ref="A117:C117"/>
    <mergeCell ref="A70:C70"/>
    <mergeCell ref="A126:C126"/>
    <mergeCell ref="A31:C31"/>
    <mergeCell ref="A129:C129"/>
    <mergeCell ref="A130:C130"/>
    <mergeCell ref="A131:C131"/>
    <mergeCell ref="A143:C143"/>
    <mergeCell ref="A146:C146"/>
    <mergeCell ref="A136:C136"/>
    <mergeCell ref="A137:C137"/>
    <mergeCell ref="A138:C138"/>
    <mergeCell ref="A139:C139"/>
    <mergeCell ref="A134:C134"/>
    <mergeCell ref="A147:C147"/>
    <mergeCell ref="A135:C135"/>
    <mergeCell ref="A133:C133"/>
    <mergeCell ref="A9:C9"/>
    <mergeCell ref="A10:C10"/>
    <mergeCell ref="A11:C11"/>
    <mergeCell ref="A140:C140"/>
    <mergeCell ref="A84:C84"/>
    <mergeCell ref="A85:C85"/>
    <mergeCell ref="A109:C109"/>
    <mergeCell ref="A116:C116"/>
    <mergeCell ref="A120:C120"/>
    <mergeCell ref="A121:C121"/>
    <mergeCell ref="A125:C125"/>
    <mergeCell ref="A127:C127"/>
    <mergeCell ref="A128:C12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2022-10-16T16:43:58Z</cp:lastPrinted>
  <dcterms:created xsi:type="dcterms:W3CDTF">2022-08-12T12:51:27Z</dcterms:created>
  <dcterms:modified xsi:type="dcterms:W3CDTF">2023-05-04T17:37:22Z</dcterms:modified>
</cp:coreProperties>
</file>